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mc:AlternateContent xmlns:mc="http://schemas.openxmlformats.org/markup-compatibility/2006">
    <mc:Choice Requires="x15">
      <x15ac:absPath xmlns:x15ac="http://schemas.microsoft.com/office/spreadsheetml/2010/11/ac" url="https://dgbcnl.sharepoint.com/sites/ontwikkelingenbeheer/Gedeelde documenten/02 IN-USE/02 Update BIU/05 Toolings/Energy Calculator Part 2/"/>
    </mc:Choice>
  </mc:AlternateContent>
  <xr:revisionPtr revIDLastSave="37" documentId="8_{10CFF061-A86E-4008-83CA-61D67FB49AC2}" xr6:coauthVersionLast="47" xr6:coauthVersionMax="47" xr10:uidLastSave="{E2B8ACE7-CCB7-9F4F-A443-F1562A4AECA0}"/>
  <bookViews>
    <workbookView xWindow="-38400" yWindow="-9340" windowWidth="38400" windowHeight="19320" tabRatio="775" firstSheet="1" activeTab="1" xr2:uid="{00000000-000D-0000-FFFF-FFFF00000000}"/>
  </bookViews>
  <sheets>
    <sheet name="Guidance" sheetId="21" r:id="rId1"/>
    <sheet name="Asset Information" sheetId="4" r:id="rId2"/>
    <sheet name="Consumption Data" sheetId="8" r:id="rId3"/>
    <sheet name="Results" sheetId="6" r:id="rId4"/>
    <sheet name="Schedule Of Changes" sheetId="22" r:id="rId5"/>
    <sheet name="Data Validation" sheetId="7" state="hidden" r:id="rId6"/>
    <sheet name="v6 calculation" sheetId="24" state="hidden" r:id="rId7"/>
    <sheet name="v6 benchmarks" sheetId="25" state="hidden" r:id="rId8"/>
    <sheet name="v6 picksheet" sheetId="2" state="hidden" r:id="rId9"/>
  </sheets>
  <definedNames>
    <definedName name="AssetType">#REF!</definedName>
    <definedName name="Country">'v6 picksheet'!$I$5:$I$189</definedName>
    <definedName name="Fuel_type">'v6 picksheet'!$A$2:$A$12</definedName>
    <definedName name="Fuel_Type2">'v6 picksheet'!$A$2:$A$23</definedName>
    <definedName name="NonStandardEnergy">#REF!</definedName>
    <definedName name="yesno">'v6 picksheet'!$B$6:$B$7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24" l="1"/>
  <c r="M74" i="24" s="1"/>
  <c r="G73" i="24"/>
  <c r="M73" i="24" s="1"/>
  <c r="G72" i="24"/>
  <c r="M72" i="24" s="1"/>
  <c r="G71" i="24"/>
  <c r="M71" i="24" s="1"/>
  <c r="G70" i="24"/>
  <c r="M70" i="24" s="1"/>
  <c r="D56" i="24"/>
  <c r="B30" i="6" l="1"/>
  <c r="B20" i="6" l="1"/>
  <c r="B21" i="6"/>
  <c r="B22" i="6"/>
  <c r="B7" i="6"/>
  <c r="B8" i="6"/>
  <c r="B9" i="6"/>
  <c r="B10" i="6"/>
  <c r="B11" i="6"/>
  <c r="B12" i="6"/>
  <c r="B13" i="6"/>
  <c r="B14" i="6"/>
  <c r="B15" i="6"/>
  <c r="B16" i="6"/>
  <c r="B17" i="6"/>
  <c r="B18" i="6"/>
  <c r="B19" i="6"/>
  <c r="BQ38" i="7"/>
  <c r="D2" i="2"/>
  <c r="D112" i="24" l="1"/>
  <c r="D113" i="24"/>
  <c r="D109" i="24"/>
  <c r="D110" i="24"/>
  <c r="D111" i="24"/>
  <c r="D92" i="24"/>
  <c r="D93" i="24"/>
  <c r="D94" i="24"/>
  <c r="D95" i="24"/>
  <c r="D96" i="24"/>
  <c r="D97" i="24"/>
  <c r="D98" i="24"/>
  <c r="D99" i="24"/>
  <c r="D100" i="24"/>
  <c r="D101" i="24"/>
  <c r="D102" i="24"/>
  <c r="D103" i="24"/>
  <c r="D104" i="24"/>
  <c r="D105" i="24"/>
  <c r="D106" i="24"/>
  <c r="D107" i="24"/>
  <c r="D108" i="24"/>
  <c r="D91" i="24"/>
  <c r="D4" i="2"/>
  <c r="D44" i="24" l="1"/>
  <c r="D32" i="24"/>
  <c r="D8" i="2"/>
  <c r="D16" i="2"/>
  <c r="D6" i="2"/>
  <c r="D17" i="2"/>
  <c r="D12" i="2"/>
  <c r="D11" i="2"/>
  <c r="D5" i="2"/>
  <c r="D14" i="2"/>
  <c r="D3" i="2"/>
  <c r="D13" i="2"/>
  <c r="D7" i="2"/>
  <c r="D15" i="2"/>
  <c r="D9" i="2"/>
  <c r="D10" i="2"/>
  <c r="Q65" i="25"/>
  <c r="Q64" i="25"/>
  <c r="Q63" i="25"/>
  <c r="O63" i="25"/>
  <c r="N63" i="25"/>
  <c r="Q62" i="25"/>
  <c r="O62" i="25"/>
  <c r="N62" i="25"/>
  <c r="Q61" i="25"/>
  <c r="O61" i="25"/>
  <c r="N61" i="25"/>
  <c r="Q60" i="25"/>
  <c r="O60" i="25"/>
  <c r="N60" i="25"/>
  <c r="Q59" i="25"/>
  <c r="O59" i="25"/>
  <c r="N59" i="25"/>
  <c r="Q58" i="25"/>
  <c r="O58" i="25"/>
  <c r="N58" i="25"/>
  <c r="Q57" i="25"/>
  <c r="O57" i="25"/>
  <c r="N57" i="25"/>
  <c r="Q56" i="25"/>
  <c r="O56" i="25"/>
  <c r="N56" i="25"/>
  <c r="Q55" i="25"/>
  <c r="O55" i="25"/>
  <c r="N55" i="25"/>
  <c r="Q54" i="25"/>
  <c r="O54" i="25"/>
  <c r="N54" i="25"/>
  <c r="Q53" i="25"/>
  <c r="O53" i="25"/>
  <c r="N53" i="25"/>
  <c r="Q52" i="25"/>
  <c r="O52" i="25"/>
  <c r="N52" i="25"/>
  <c r="Q51" i="25"/>
  <c r="O51" i="25"/>
  <c r="N51" i="25"/>
  <c r="Q50" i="25"/>
  <c r="O50" i="25"/>
  <c r="N50" i="25"/>
  <c r="Q49" i="25"/>
  <c r="O49" i="25"/>
  <c r="N49" i="25"/>
  <c r="Q48" i="25"/>
  <c r="O48" i="25"/>
  <c r="N48" i="25"/>
  <c r="Q47" i="25"/>
  <c r="O47" i="25"/>
  <c r="N47" i="25"/>
  <c r="Q46" i="25"/>
  <c r="O46" i="25"/>
  <c r="N46" i="25"/>
  <c r="Q45" i="25"/>
  <c r="O45" i="25"/>
  <c r="N45" i="25"/>
  <c r="Q44" i="25"/>
  <c r="O44" i="25"/>
  <c r="N44" i="25"/>
  <c r="Q43" i="25"/>
  <c r="O43" i="25"/>
  <c r="N43" i="25"/>
  <c r="Q42" i="25"/>
  <c r="O42" i="25"/>
  <c r="N42" i="25"/>
  <c r="Q41" i="25"/>
  <c r="O41" i="25"/>
  <c r="N41" i="25"/>
  <c r="Q40" i="25"/>
  <c r="O40" i="25"/>
  <c r="N40" i="25"/>
  <c r="Q39" i="25"/>
  <c r="O39" i="25"/>
  <c r="N39" i="25"/>
  <c r="Q38" i="25"/>
  <c r="O38" i="25"/>
  <c r="N38" i="25"/>
  <c r="Q37" i="25"/>
  <c r="O37" i="25"/>
  <c r="N37" i="25"/>
  <c r="Q36" i="25"/>
  <c r="O36" i="25"/>
  <c r="N36" i="25"/>
  <c r="Q35" i="25"/>
  <c r="O35" i="25"/>
  <c r="N35" i="25"/>
  <c r="Q34" i="25"/>
  <c r="O34" i="25"/>
  <c r="N34" i="25"/>
  <c r="Q33" i="25"/>
  <c r="O33" i="25"/>
  <c r="N33" i="25"/>
  <c r="Q32" i="25"/>
  <c r="O32" i="25"/>
  <c r="N32" i="25"/>
  <c r="Q31" i="25"/>
  <c r="O31" i="25"/>
  <c r="N31" i="25"/>
  <c r="Q30" i="25"/>
  <c r="O30" i="25"/>
  <c r="N30" i="25"/>
  <c r="Q29" i="25"/>
  <c r="O29" i="25"/>
  <c r="N29" i="25"/>
  <c r="Q28" i="25"/>
  <c r="O28" i="25"/>
  <c r="N28" i="25"/>
  <c r="Q27" i="25"/>
  <c r="O27" i="25"/>
  <c r="N27" i="25"/>
  <c r="Q26" i="25"/>
  <c r="O26" i="25"/>
  <c r="N26" i="25"/>
  <c r="Q25" i="25"/>
  <c r="O25" i="25"/>
  <c r="N25" i="25"/>
  <c r="Q24" i="25"/>
  <c r="O24" i="25"/>
  <c r="N24" i="25"/>
  <c r="Q23" i="25"/>
  <c r="O23" i="25"/>
  <c r="N23" i="25"/>
  <c r="Q22" i="25"/>
  <c r="O22" i="25"/>
  <c r="N22" i="25"/>
  <c r="Q21" i="25"/>
  <c r="O21" i="25"/>
  <c r="N21" i="25"/>
  <c r="Q20" i="25"/>
  <c r="O20" i="25"/>
  <c r="N20" i="25"/>
  <c r="Q19" i="25"/>
  <c r="O19" i="25"/>
  <c r="N19" i="25"/>
  <c r="Q18" i="25"/>
  <c r="O18" i="25"/>
  <c r="N18" i="25"/>
  <c r="Q17" i="25"/>
  <c r="O17" i="25"/>
  <c r="N17" i="25"/>
  <c r="T16" i="25"/>
  <c r="U24" i="25" s="1"/>
  <c r="Q16" i="25"/>
  <c r="O16" i="25"/>
  <c r="N16" i="25"/>
  <c r="Q15" i="25"/>
  <c r="O15" i="25"/>
  <c r="N15" i="25"/>
  <c r="Q14" i="25"/>
  <c r="O14" i="25"/>
  <c r="N14" i="25"/>
  <c r="U13" i="25"/>
  <c r="Q13" i="25"/>
  <c r="O13" i="25"/>
  <c r="N13" i="25"/>
  <c r="U12" i="25"/>
  <c r="Q12" i="25"/>
  <c r="O12" i="25"/>
  <c r="N12" i="25"/>
  <c r="U11" i="25"/>
  <c r="Q11" i="25"/>
  <c r="O11" i="25"/>
  <c r="N11" i="25"/>
  <c r="U10" i="25"/>
  <c r="Q10" i="25"/>
  <c r="O10" i="25"/>
  <c r="N10" i="25"/>
  <c r="U9" i="25"/>
  <c r="Q9" i="25"/>
  <c r="O9" i="25"/>
  <c r="N9" i="25"/>
  <c r="U8" i="25"/>
  <c r="Q8" i="25"/>
  <c r="O8" i="25"/>
  <c r="N8" i="25"/>
  <c r="U7" i="25"/>
  <c r="Q7" i="25"/>
  <c r="O7" i="25"/>
  <c r="N7" i="25"/>
  <c r="U6" i="25"/>
  <c r="Q6" i="25"/>
  <c r="O6" i="25"/>
  <c r="N6" i="25"/>
  <c r="U5" i="25"/>
  <c r="Q5" i="25"/>
  <c r="O5" i="25"/>
  <c r="N5" i="25"/>
  <c r="U4" i="25"/>
  <c r="S4" i="25"/>
  <c r="W10" i="25" s="1"/>
  <c r="Q4" i="25"/>
  <c r="O4" i="25"/>
  <c r="N4" i="25"/>
  <c r="Q3" i="25"/>
  <c r="O3" i="25"/>
  <c r="N3" i="25"/>
  <c r="D20" i="24"/>
  <c r="D8" i="24"/>
  <c r="L113" i="24"/>
  <c r="U18" i="25" l="1"/>
  <c r="W5" i="25"/>
  <c r="U21" i="25"/>
  <c r="D18" i="2"/>
  <c r="W4" i="25"/>
  <c r="W7" i="25"/>
  <c r="X10" i="25"/>
  <c r="T28" i="25"/>
  <c r="U23" i="25"/>
  <c r="X4" i="25"/>
  <c r="W12" i="25"/>
  <c r="U20" i="25"/>
  <c r="W9" i="25"/>
  <c r="X12" i="25"/>
  <c r="S16" i="25"/>
  <c r="U17" i="25"/>
  <c r="W6" i="25"/>
  <c r="U22" i="25"/>
  <c r="U16" i="25"/>
  <c r="U19" i="25"/>
  <c r="U25" i="25"/>
  <c r="W8" i="25"/>
  <c r="B6" i="6"/>
  <c r="X13" i="25" l="1"/>
  <c r="U37" i="25"/>
  <c r="U32" i="25"/>
  <c r="U29" i="25"/>
  <c r="U35" i="25"/>
  <c r="U30" i="25"/>
  <c r="U34" i="25"/>
  <c r="S28" i="25"/>
  <c r="T40" i="25"/>
  <c r="U33" i="25"/>
  <c r="U36" i="25"/>
  <c r="U31" i="25"/>
  <c r="U28" i="25"/>
  <c r="W24" i="25"/>
  <c r="X16" i="25"/>
  <c r="X22" i="25"/>
  <c r="W19" i="25"/>
  <c r="W16" i="25"/>
  <c r="W17" i="25"/>
  <c r="X24" i="25"/>
  <c r="W22" i="25"/>
  <c r="W20" i="25"/>
  <c r="W21" i="25"/>
  <c r="W18" i="25"/>
  <c r="W13" i="25"/>
  <c r="W32" i="25" l="1"/>
  <c r="X36" i="25"/>
  <c r="W30" i="25"/>
  <c r="W33" i="25"/>
  <c r="X28" i="25"/>
  <c r="W36" i="25"/>
  <c r="W31" i="25"/>
  <c r="W28" i="25"/>
  <c r="X34" i="25"/>
  <c r="W34" i="25"/>
  <c r="W29" i="25"/>
  <c r="X25" i="25"/>
  <c r="U45" i="25"/>
  <c r="U48" i="25"/>
  <c r="U41" i="25"/>
  <c r="S40" i="25"/>
  <c r="T52" i="25"/>
  <c r="U40" i="25"/>
  <c r="U46" i="25"/>
  <c r="U44" i="25"/>
  <c r="U42" i="25"/>
  <c r="U49" i="25"/>
  <c r="U47" i="25"/>
  <c r="U43" i="25"/>
  <c r="W25" i="25"/>
  <c r="W37" i="25" l="1"/>
  <c r="W48" i="25"/>
  <c r="X40" i="25"/>
  <c r="X46" i="25"/>
  <c r="W43" i="25"/>
  <c r="W40" i="25"/>
  <c r="W44" i="25"/>
  <c r="W41" i="25"/>
  <c r="X48" i="25"/>
  <c r="W46" i="25"/>
  <c r="W42" i="25"/>
  <c r="W45" i="25"/>
  <c r="X37" i="25"/>
  <c r="U59" i="25"/>
  <c r="U56" i="25"/>
  <c r="U60" i="25"/>
  <c r="U61" i="25"/>
  <c r="U52" i="25"/>
  <c r="U53" i="25"/>
  <c r="U57" i="25"/>
  <c r="U55" i="25"/>
  <c r="S52" i="25"/>
  <c r="T64" i="25"/>
  <c r="U58" i="25"/>
  <c r="U54" i="25"/>
  <c r="T76" i="25" l="1"/>
  <c r="U66" i="25"/>
  <c r="U67" i="25"/>
  <c r="S64" i="25"/>
  <c r="U70" i="25"/>
  <c r="U72" i="25"/>
  <c r="U68" i="25"/>
  <c r="U73" i="25"/>
  <c r="U71" i="25"/>
  <c r="U69" i="25"/>
  <c r="U65" i="25"/>
  <c r="U64" i="25"/>
  <c r="W54" i="25"/>
  <c r="X58" i="25"/>
  <c r="W55" i="25"/>
  <c r="W52" i="25"/>
  <c r="W57" i="25"/>
  <c r="W53" i="25"/>
  <c r="X60" i="25"/>
  <c r="W58" i="25"/>
  <c r="W60" i="25"/>
  <c r="X52" i="25"/>
  <c r="W56" i="25"/>
  <c r="W49" i="25"/>
  <c r="X49" i="25"/>
  <c r="X61" i="25" l="1"/>
  <c r="W61" i="25"/>
  <c r="U85" i="25"/>
  <c r="U82" i="25"/>
  <c r="U77" i="25"/>
  <c r="S76" i="25"/>
  <c r="U78" i="25"/>
  <c r="U84" i="25"/>
  <c r="U80" i="25"/>
  <c r="U76" i="25"/>
  <c r="T88" i="25"/>
  <c r="U81" i="25"/>
  <c r="U83" i="25"/>
  <c r="U79" i="25"/>
  <c r="W66" i="25"/>
  <c r="X64" i="25"/>
  <c r="X72" i="25"/>
  <c r="W69" i="25"/>
  <c r="W64" i="25"/>
  <c r="W70" i="25"/>
  <c r="W72" i="25"/>
  <c r="W68" i="25"/>
  <c r="X70" i="25"/>
  <c r="W65" i="25"/>
  <c r="W67" i="25"/>
  <c r="X73" i="25" l="1"/>
  <c r="U93" i="25"/>
  <c r="U96" i="25"/>
  <c r="U89" i="25"/>
  <c r="S88" i="25"/>
  <c r="U97" i="25"/>
  <c r="U92" i="25"/>
  <c r="U88" i="25"/>
  <c r="U90" i="25"/>
  <c r="U95" i="25"/>
  <c r="U94" i="25"/>
  <c r="T100" i="25"/>
  <c r="U91" i="25"/>
  <c r="W77" i="25"/>
  <c r="W80" i="25"/>
  <c r="X84" i="25"/>
  <c r="W81" i="25"/>
  <c r="W84" i="25"/>
  <c r="X76" i="25"/>
  <c r="X82" i="25"/>
  <c r="W78" i="25"/>
  <c r="W76" i="25"/>
  <c r="W82" i="25"/>
  <c r="W79" i="25"/>
  <c r="W73" i="25"/>
  <c r="B4" i="7"/>
  <c r="B5" i="7"/>
  <c r="B6" i="7"/>
  <c r="B7" i="7"/>
  <c r="B8" i="7"/>
  <c r="B9" i="7"/>
  <c r="B10" i="7"/>
  <c r="B11" i="7"/>
  <c r="B12" i="7"/>
  <c r="B13" i="7"/>
  <c r="B14" i="7"/>
  <c r="B15" i="7"/>
  <c r="B16" i="7"/>
  <c r="B17" i="7"/>
  <c r="B18" i="7"/>
  <c r="B19" i="7"/>
  <c r="B3" i="7"/>
  <c r="W96" i="25" l="1"/>
  <c r="X88" i="25"/>
  <c r="X94" i="25"/>
  <c r="W91" i="25"/>
  <c r="W88" i="25"/>
  <c r="W92" i="25"/>
  <c r="W90" i="25"/>
  <c r="X96" i="25"/>
  <c r="W94" i="25"/>
  <c r="W93" i="25"/>
  <c r="W89" i="25"/>
  <c r="W85" i="25"/>
  <c r="U107" i="25"/>
  <c r="U104" i="25"/>
  <c r="T112" i="25"/>
  <c r="U108" i="25"/>
  <c r="U109" i="25"/>
  <c r="U101" i="25"/>
  <c r="U105" i="25"/>
  <c r="U102" i="25"/>
  <c r="U103" i="25"/>
  <c r="U106" i="25"/>
  <c r="U100" i="25"/>
  <c r="S100" i="25"/>
  <c r="X85" i="25"/>
  <c r="W102" i="25" l="1"/>
  <c r="X106" i="25"/>
  <c r="W103" i="25"/>
  <c r="W100" i="25"/>
  <c r="W105" i="25"/>
  <c r="W106" i="25"/>
  <c r="X100" i="25"/>
  <c r="X108" i="25"/>
  <c r="W104" i="25"/>
  <c r="W108" i="25"/>
  <c r="W101" i="25"/>
  <c r="U115" i="25"/>
  <c r="U112" i="25"/>
  <c r="U121" i="25"/>
  <c r="U118" i="25"/>
  <c r="T124" i="25"/>
  <c r="U113" i="25"/>
  <c r="U119" i="25"/>
  <c r="U117" i="25"/>
  <c r="U114" i="25"/>
  <c r="U120" i="25"/>
  <c r="U116" i="25"/>
  <c r="S112" i="25"/>
  <c r="W97" i="25"/>
  <c r="X97" i="25"/>
  <c r="BQ32" i="7"/>
  <c r="BT34" i="7" s="1"/>
  <c r="BQ33" i="7"/>
  <c r="BU34" i="7" s="1"/>
  <c r="BQ34" i="7"/>
  <c r="BV34" i="7" s="1"/>
  <c r="BQ35" i="7"/>
  <c r="BW34" i="7" s="1"/>
  <c r="BQ36" i="7"/>
  <c r="BQ37" i="7"/>
  <c r="BY34" i="7" s="1"/>
  <c r="BZ34" i="7"/>
  <c r="BQ39" i="7"/>
  <c r="CA34" i="7" s="1"/>
  <c r="BQ40" i="7"/>
  <c r="CB34" i="7" s="1"/>
  <c r="BQ42" i="7"/>
  <c r="BQ44" i="7"/>
  <c r="BQ46" i="7"/>
  <c r="BQ48" i="7"/>
  <c r="H34" i="7"/>
  <c r="AL34" i="7" s="1"/>
  <c r="I34" i="7"/>
  <c r="J34" i="7"/>
  <c r="AN34" i="7" s="1"/>
  <c r="K34" i="7"/>
  <c r="AO34" i="7" s="1"/>
  <c r="N34" i="7"/>
  <c r="M34" i="7"/>
  <c r="S34" i="7"/>
  <c r="T34" i="7"/>
  <c r="U34" i="7"/>
  <c r="V34" i="7"/>
  <c r="W34" i="7"/>
  <c r="X34" i="7"/>
  <c r="Y34" i="7"/>
  <c r="AS34" i="7" s="1"/>
  <c r="AA34" i="7"/>
  <c r="AW34" i="7" s="1"/>
  <c r="AB34" i="7"/>
  <c r="AX34" i="7" s="1"/>
  <c r="AT34" i="7"/>
  <c r="G34" i="7"/>
  <c r="AC34" i="7"/>
  <c r="H35" i="7"/>
  <c r="AL35" i="7" s="1"/>
  <c r="H36" i="7"/>
  <c r="AL36" i="7" s="1"/>
  <c r="H37" i="7"/>
  <c r="AL37" i="7" s="1"/>
  <c r="AE37" i="7" s="1"/>
  <c r="V12" i="8" s="1"/>
  <c r="H38" i="7"/>
  <c r="AL38" i="7" s="1"/>
  <c r="H39" i="7"/>
  <c r="AL39" i="7" s="1"/>
  <c r="AE39" i="7" s="1"/>
  <c r="V14" i="8" s="1"/>
  <c r="H40" i="7"/>
  <c r="AL40" i="7" s="1"/>
  <c r="AE40" i="7" s="1"/>
  <c r="V15" i="8" s="1"/>
  <c r="H41" i="7"/>
  <c r="AL41" i="7" s="1"/>
  <c r="AE41" i="7" s="1"/>
  <c r="V16" i="8" s="1"/>
  <c r="H42" i="7"/>
  <c r="AL42" i="7" s="1"/>
  <c r="AE42" i="7" s="1"/>
  <c r="V17" i="8" s="1"/>
  <c r="H43" i="7"/>
  <c r="AL43" i="7" s="1"/>
  <c r="AE43" i="7" s="1"/>
  <c r="V18" i="8" s="1"/>
  <c r="H44" i="7"/>
  <c r="AL44" i="7" s="1"/>
  <c r="H45" i="7"/>
  <c r="AL45" i="7" s="1"/>
  <c r="AE45" i="7" s="1"/>
  <c r="V20" i="8" s="1"/>
  <c r="H46" i="7"/>
  <c r="AL46" i="7" s="1"/>
  <c r="H47" i="7"/>
  <c r="AL47" i="7" s="1"/>
  <c r="AE47" i="7" s="1"/>
  <c r="V22" i="8" s="1"/>
  <c r="H48" i="7"/>
  <c r="AL48" i="7" s="1"/>
  <c r="AE48" i="7" s="1"/>
  <c r="V23" i="8" s="1"/>
  <c r="H49" i="7"/>
  <c r="AL49" i="7" s="1"/>
  <c r="H50" i="7"/>
  <c r="AL50" i="7" s="1"/>
  <c r="AE50" i="7" s="1"/>
  <c r="V25" i="8" s="1"/>
  <c r="H51" i="7"/>
  <c r="AL51" i="7" s="1"/>
  <c r="AE51" i="7" s="1"/>
  <c r="V26" i="8" s="1"/>
  <c r="H52" i="7"/>
  <c r="AL52" i="7" s="1"/>
  <c r="AE52" i="7" s="1"/>
  <c r="V27" i="8" s="1"/>
  <c r="H53" i="7"/>
  <c r="AL53" i="7" s="1"/>
  <c r="AE53" i="7" s="1"/>
  <c r="V28" i="8" s="1"/>
  <c r="I35" i="7"/>
  <c r="AM35" i="7" s="1"/>
  <c r="I36" i="7"/>
  <c r="AM36" i="7" s="1"/>
  <c r="I37" i="7"/>
  <c r="AM37" i="7" s="1"/>
  <c r="I38" i="7"/>
  <c r="AM38" i="7" s="1"/>
  <c r="I39" i="7"/>
  <c r="AM39" i="7" s="1"/>
  <c r="I40" i="7"/>
  <c r="AM40" i="7" s="1"/>
  <c r="I41" i="7"/>
  <c r="AM41" i="7" s="1"/>
  <c r="I42" i="7"/>
  <c r="AM42" i="7" s="1"/>
  <c r="I43" i="7"/>
  <c r="AM43" i="7" s="1"/>
  <c r="I44" i="7"/>
  <c r="AM44" i="7" s="1"/>
  <c r="I45" i="7"/>
  <c r="AM45" i="7" s="1"/>
  <c r="I46" i="7"/>
  <c r="AM46" i="7" s="1"/>
  <c r="I47" i="7"/>
  <c r="AM47" i="7" s="1"/>
  <c r="I48" i="7"/>
  <c r="AM48" i="7" s="1"/>
  <c r="I49" i="7"/>
  <c r="AM49" i="7" s="1"/>
  <c r="I50" i="7"/>
  <c r="AM50" i="7" s="1"/>
  <c r="I51" i="7"/>
  <c r="AM51" i="7" s="1"/>
  <c r="I52" i="7"/>
  <c r="AM52" i="7" s="1"/>
  <c r="I53" i="7"/>
  <c r="AM53" i="7" s="1"/>
  <c r="J35" i="7"/>
  <c r="AN35" i="7" s="1"/>
  <c r="K35" i="7"/>
  <c r="AO35" i="7" s="1"/>
  <c r="M35" i="7"/>
  <c r="N35" i="7"/>
  <c r="S35" i="7"/>
  <c r="T35" i="7"/>
  <c r="U35" i="7"/>
  <c r="V35" i="7"/>
  <c r="W35" i="7"/>
  <c r="X35" i="7"/>
  <c r="Y35" i="7"/>
  <c r="AS35" i="7" s="1"/>
  <c r="AT35" i="7"/>
  <c r="G35" i="7"/>
  <c r="AC35" i="7"/>
  <c r="AA35" i="7"/>
  <c r="AB35" i="7"/>
  <c r="J36" i="7"/>
  <c r="AN36" i="7" s="1"/>
  <c r="K36" i="7"/>
  <c r="AO36" i="7" s="1"/>
  <c r="M36" i="7"/>
  <c r="N36" i="7"/>
  <c r="S36" i="7"/>
  <c r="T36" i="7"/>
  <c r="U36" i="7"/>
  <c r="V36" i="7"/>
  <c r="W36" i="7"/>
  <c r="X36" i="7"/>
  <c r="Y36" i="7"/>
  <c r="AS36" i="7" s="1"/>
  <c r="AT36" i="7"/>
  <c r="G36" i="7"/>
  <c r="AC36" i="7"/>
  <c r="AA36" i="7"/>
  <c r="AW36" i="7" s="1"/>
  <c r="AB36" i="7"/>
  <c r="AX36" i="7" s="1"/>
  <c r="J37" i="7"/>
  <c r="K37" i="7"/>
  <c r="AO37" i="7" s="1"/>
  <c r="M37" i="7"/>
  <c r="N37" i="7"/>
  <c r="S37" i="7"/>
  <c r="T37" i="7"/>
  <c r="U37" i="7"/>
  <c r="V37" i="7"/>
  <c r="W37" i="7"/>
  <c r="X37" i="7"/>
  <c r="Y37" i="7"/>
  <c r="AS37" i="7" s="1"/>
  <c r="AT37" i="7"/>
  <c r="G37" i="7"/>
  <c r="AC37" i="7"/>
  <c r="AA37" i="7"/>
  <c r="AV37" i="7" s="1"/>
  <c r="AB37" i="7"/>
  <c r="AZ37" i="7" s="1"/>
  <c r="J38" i="7"/>
  <c r="AN38" i="7" s="1"/>
  <c r="K38" i="7"/>
  <c r="M38" i="7"/>
  <c r="N38" i="7"/>
  <c r="S38" i="7"/>
  <c r="T38" i="7"/>
  <c r="U38" i="7"/>
  <c r="V38" i="7"/>
  <c r="W38" i="7"/>
  <c r="X38" i="7"/>
  <c r="Y38" i="7"/>
  <c r="AS38" i="7" s="1"/>
  <c r="AT38" i="7"/>
  <c r="G38" i="7"/>
  <c r="AC38" i="7"/>
  <c r="AA38" i="7"/>
  <c r="AB38" i="7"/>
  <c r="AZ38" i="7" s="1"/>
  <c r="J39" i="7"/>
  <c r="AN39" i="7" s="1"/>
  <c r="K39" i="7"/>
  <c r="AO39" i="7" s="1"/>
  <c r="M39" i="7"/>
  <c r="N39" i="7"/>
  <c r="S39" i="7"/>
  <c r="T39" i="7"/>
  <c r="U39" i="7"/>
  <c r="V39" i="7"/>
  <c r="W39" i="7"/>
  <c r="X39" i="7"/>
  <c r="Y39" i="7"/>
  <c r="AS39" i="7" s="1"/>
  <c r="AT39" i="7"/>
  <c r="G39" i="7"/>
  <c r="AC39" i="7"/>
  <c r="AA39" i="7"/>
  <c r="AW39" i="7" s="1"/>
  <c r="AB39" i="7"/>
  <c r="AZ39" i="7" s="1"/>
  <c r="J40" i="7"/>
  <c r="K40" i="7"/>
  <c r="AO40" i="7" s="1"/>
  <c r="M40" i="7"/>
  <c r="N40" i="7"/>
  <c r="S40" i="7"/>
  <c r="T40" i="7"/>
  <c r="U40" i="7"/>
  <c r="V40" i="7"/>
  <c r="W40" i="7"/>
  <c r="X40" i="7"/>
  <c r="Y40" i="7"/>
  <c r="AS40" i="7" s="1"/>
  <c r="AT40" i="7"/>
  <c r="G40" i="7"/>
  <c r="AC40" i="7"/>
  <c r="AA40" i="7"/>
  <c r="AV40" i="7" s="1"/>
  <c r="AB40" i="7"/>
  <c r="AX40" i="7" s="1"/>
  <c r="J41" i="7"/>
  <c r="AN41" i="7" s="1"/>
  <c r="K41" i="7"/>
  <c r="AO41" i="7" s="1"/>
  <c r="M41" i="7"/>
  <c r="N41" i="7"/>
  <c r="S41" i="7"/>
  <c r="T41" i="7"/>
  <c r="U41" i="7"/>
  <c r="V41" i="7"/>
  <c r="W41" i="7"/>
  <c r="X41" i="7"/>
  <c r="Y41" i="7"/>
  <c r="AS41" i="7" s="1"/>
  <c r="AT41" i="7"/>
  <c r="G41" i="7"/>
  <c r="AC41" i="7"/>
  <c r="AA41" i="7"/>
  <c r="AV41" i="7" s="1"/>
  <c r="AB41" i="7"/>
  <c r="AX41" i="7" s="1"/>
  <c r="J42" i="7"/>
  <c r="AN42" i="7" s="1"/>
  <c r="K42" i="7"/>
  <c r="M42" i="7"/>
  <c r="N42" i="7"/>
  <c r="S42" i="7"/>
  <c r="T42" i="7"/>
  <c r="U42" i="7"/>
  <c r="V42" i="7"/>
  <c r="W42" i="7"/>
  <c r="X42" i="7"/>
  <c r="Y42" i="7"/>
  <c r="AS42" i="7" s="1"/>
  <c r="AT42" i="7"/>
  <c r="G42" i="7"/>
  <c r="AC42" i="7"/>
  <c r="AA42" i="7"/>
  <c r="AV42" i="7" s="1"/>
  <c r="AB42" i="7"/>
  <c r="AX42" i="7" s="1"/>
  <c r="J43" i="7"/>
  <c r="AN43" i="7" s="1"/>
  <c r="K43" i="7"/>
  <c r="M43" i="7"/>
  <c r="N43" i="7"/>
  <c r="S43" i="7"/>
  <c r="T43" i="7"/>
  <c r="U43" i="7"/>
  <c r="V43" i="7"/>
  <c r="W43" i="7"/>
  <c r="X43" i="7"/>
  <c r="Y43" i="7"/>
  <c r="AS43" i="7" s="1"/>
  <c r="AT43" i="7"/>
  <c r="G43" i="7"/>
  <c r="AC43" i="7"/>
  <c r="AA43" i="7"/>
  <c r="AB43" i="7"/>
  <c r="J44" i="7"/>
  <c r="AN44" i="7" s="1"/>
  <c r="K44" i="7"/>
  <c r="AO44" i="7" s="1"/>
  <c r="M44" i="7"/>
  <c r="N44" i="7"/>
  <c r="S44" i="7"/>
  <c r="T44" i="7"/>
  <c r="U44" i="7"/>
  <c r="V44" i="7"/>
  <c r="W44" i="7"/>
  <c r="X44" i="7"/>
  <c r="Y44" i="7"/>
  <c r="AS44" i="7" s="1"/>
  <c r="AT44" i="7"/>
  <c r="G44" i="7"/>
  <c r="AC44" i="7"/>
  <c r="AA44" i="7"/>
  <c r="AW44" i="7" s="1"/>
  <c r="AB44" i="7"/>
  <c r="AX44" i="7" s="1"/>
  <c r="J45" i="7"/>
  <c r="K45" i="7"/>
  <c r="AO45" i="7" s="1"/>
  <c r="M45" i="7"/>
  <c r="N45" i="7"/>
  <c r="S45" i="7"/>
  <c r="T45" i="7"/>
  <c r="U45" i="7"/>
  <c r="V45" i="7"/>
  <c r="W45" i="7"/>
  <c r="X45" i="7"/>
  <c r="Y45" i="7"/>
  <c r="AS45" i="7" s="1"/>
  <c r="AT45" i="7"/>
  <c r="G45" i="7"/>
  <c r="AC45" i="7"/>
  <c r="AA45" i="7"/>
  <c r="AV45" i="7" s="1"/>
  <c r="AB45" i="7"/>
  <c r="AZ45" i="7" s="1"/>
  <c r="J46" i="7"/>
  <c r="AN46" i="7" s="1"/>
  <c r="K46" i="7"/>
  <c r="M46" i="7"/>
  <c r="N46" i="7"/>
  <c r="S46" i="7"/>
  <c r="T46" i="7"/>
  <c r="U46" i="7"/>
  <c r="V46" i="7"/>
  <c r="W46" i="7"/>
  <c r="X46" i="7"/>
  <c r="Y46" i="7"/>
  <c r="AS46" i="7" s="1"/>
  <c r="AT46" i="7"/>
  <c r="G46" i="7"/>
  <c r="AC46" i="7"/>
  <c r="AA46" i="7"/>
  <c r="AB46" i="7"/>
  <c r="AZ46" i="7" s="1"/>
  <c r="J47" i="7"/>
  <c r="AN47" i="7" s="1"/>
  <c r="K47" i="7"/>
  <c r="M47" i="7"/>
  <c r="N47" i="7"/>
  <c r="S47" i="7"/>
  <c r="T47" i="7"/>
  <c r="U47" i="7"/>
  <c r="V47" i="7"/>
  <c r="W47" i="7"/>
  <c r="X47" i="7"/>
  <c r="Y47" i="7"/>
  <c r="AS47" i="7" s="1"/>
  <c r="AT47" i="7"/>
  <c r="G47" i="7"/>
  <c r="AC47" i="7"/>
  <c r="AA47" i="7"/>
  <c r="AW47" i="7" s="1"/>
  <c r="AB47" i="7"/>
  <c r="AZ47" i="7" s="1"/>
  <c r="J48" i="7"/>
  <c r="K48" i="7"/>
  <c r="AO48" i="7" s="1"/>
  <c r="M48" i="7"/>
  <c r="N48" i="7"/>
  <c r="S48" i="7"/>
  <c r="T48" i="7"/>
  <c r="U48" i="7"/>
  <c r="V48" i="7"/>
  <c r="W48" i="7"/>
  <c r="X48" i="7"/>
  <c r="Y48" i="7"/>
  <c r="AS48" i="7" s="1"/>
  <c r="AT48" i="7"/>
  <c r="G48" i="7"/>
  <c r="AC48" i="7"/>
  <c r="AA48" i="7"/>
  <c r="AW48" i="7" s="1"/>
  <c r="AB48" i="7"/>
  <c r="AX48" i="7" s="1"/>
  <c r="J49" i="7"/>
  <c r="AN49" i="7" s="1"/>
  <c r="K49" i="7"/>
  <c r="M49" i="7"/>
  <c r="N49" i="7"/>
  <c r="S49" i="7"/>
  <c r="T49" i="7"/>
  <c r="U49" i="7"/>
  <c r="V49" i="7"/>
  <c r="W49" i="7"/>
  <c r="X49" i="7"/>
  <c r="Y49" i="7"/>
  <c r="AS49" i="7" s="1"/>
  <c r="AT49" i="7"/>
  <c r="G49" i="7"/>
  <c r="AC49" i="7"/>
  <c r="AA49" i="7"/>
  <c r="AW49" i="7" s="1"/>
  <c r="AB49" i="7"/>
  <c r="AZ49" i="7" s="1"/>
  <c r="J50" i="7"/>
  <c r="AN50" i="7" s="1"/>
  <c r="K50" i="7"/>
  <c r="AO50" i="7" s="1"/>
  <c r="M50" i="7"/>
  <c r="N50" i="7"/>
  <c r="S50" i="7"/>
  <c r="T50" i="7"/>
  <c r="U50" i="7"/>
  <c r="V50" i="7"/>
  <c r="W50" i="7"/>
  <c r="X50" i="7"/>
  <c r="Y50" i="7"/>
  <c r="AS50" i="7" s="1"/>
  <c r="AT50" i="7"/>
  <c r="G50" i="7"/>
  <c r="AC50" i="7"/>
  <c r="AA50" i="7"/>
  <c r="AV50" i="7" s="1"/>
  <c r="AB50" i="7"/>
  <c r="J51" i="7"/>
  <c r="AN51" i="7" s="1"/>
  <c r="K51" i="7"/>
  <c r="M51" i="7"/>
  <c r="N51" i="7"/>
  <c r="S51" i="7"/>
  <c r="T51" i="7"/>
  <c r="U51" i="7"/>
  <c r="V51" i="7"/>
  <c r="W51" i="7"/>
  <c r="X51" i="7"/>
  <c r="Y51" i="7"/>
  <c r="AS51" i="7" s="1"/>
  <c r="AT51" i="7"/>
  <c r="G51" i="7"/>
  <c r="AC51" i="7"/>
  <c r="AA51" i="7"/>
  <c r="AB51" i="7"/>
  <c r="AX51" i="7" s="1"/>
  <c r="J52" i="7"/>
  <c r="K52" i="7"/>
  <c r="AO52" i="7" s="1"/>
  <c r="M52" i="7"/>
  <c r="N52" i="7"/>
  <c r="S52" i="7"/>
  <c r="T52" i="7"/>
  <c r="U52" i="7"/>
  <c r="V52" i="7"/>
  <c r="W52" i="7"/>
  <c r="X52" i="7"/>
  <c r="Y52" i="7"/>
  <c r="AS52" i="7" s="1"/>
  <c r="AT52" i="7"/>
  <c r="G52" i="7"/>
  <c r="AC52" i="7"/>
  <c r="AA52" i="7"/>
  <c r="AW52" i="7" s="1"/>
  <c r="AB52" i="7"/>
  <c r="J53" i="7"/>
  <c r="AN53" i="7" s="1"/>
  <c r="K53" i="7"/>
  <c r="M53" i="7"/>
  <c r="N53" i="7"/>
  <c r="S53" i="7"/>
  <c r="T53" i="7"/>
  <c r="U53" i="7"/>
  <c r="V53" i="7"/>
  <c r="W53" i="7"/>
  <c r="X53" i="7"/>
  <c r="Y53" i="7"/>
  <c r="AS53" i="7" s="1"/>
  <c r="AT53" i="7"/>
  <c r="G53" i="7"/>
  <c r="AC53" i="7"/>
  <c r="AA53" i="7"/>
  <c r="AB53" i="7"/>
  <c r="AX53" i="7" s="1"/>
  <c r="D25" i="6"/>
  <c r="D26" i="6"/>
  <c r="BQ41" i="7"/>
  <c r="BQ43" i="7"/>
  <c r="BQ45" i="7"/>
  <c r="BQ47" i="7"/>
  <c r="E25" i="6" l="1"/>
  <c r="L34" i="7"/>
  <c r="U126" i="25"/>
  <c r="U129" i="25"/>
  <c r="U133" i="25"/>
  <c r="U130" i="25"/>
  <c r="S124" i="25"/>
  <c r="T136" i="25"/>
  <c r="U131" i="25"/>
  <c r="U125" i="25"/>
  <c r="U127" i="25"/>
  <c r="U128" i="25"/>
  <c r="U124" i="25"/>
  <c r="U132" i="25"/>
  <c r="W118" i="25"/>
  <c r="W113" i="25"/>
  <c r="W114" i="25"/>
  <c r="W117" i="25"/>
  <c r="W115" i="25"/>
  <c r="X120" i="25"/>
  <c r="X118" i="25"/>
  <c r="X112" i="25"/>
  <c r="W120" i="25"/>
  <c r="W112" i="25"/>
  <c r="W116" i="25"/>
  <c r="X109" i="25"/>
  <c r="W109" i="25"/>
  <c r="E17" i="7"/>
  <c r="F17" i="7" s="1"/>
  <c r="E19" i="7"/>
  <c r="F19" i="7" s="1"/>
  <c r="C19" i="7"/>
  <c r="C22" i="6" s="1"/>
  <c r="E18" i="7"/>
  <c r="F18" i="7" s="1"/>
  <c r="C17" i="7"/>
  <c r="C4" i="7"/>
  <c r="C18" i="7"/>
  <c r="C15" i="7"/>
  <c r="C14" i="7"/>
  <c r="C16" i="7"/>
  <c r="E16" i="7"/>
  <c r="F16" i="7" s="1"/>
  <c r="E14" i="7"/>
  <c r="F14" i="7" s="1"/>
  <c r="E15" i="7"/>
  <c r="F15" i="7" s="1"/>
  <c r="Q40" i="7"/>
  <c r="AW37" i="7"/>
  <c r="AZ36" i="7"/>
  <c r="L35" i="7"/>
  <c r="Z35" i="7" s="1"/>
  <c r="Q10" i="8" s="1"/>
  <c r="L47" i="7"/>
  <c r="Z47" i="7" s="1"/>
  <c r="Q22" i="8" s="1"/>
  <c r="Z34" i="7"/>
  <c r="Q9" i="8" s="1"/>
  <c r="O36" i="7"/>
  <c r="P36" i="7" s="1"/>
  <c r="AZ40" i="7"/>
  <c r="BX34" i="7"/>
  <c r="O48" i="7"/>
  <c r="P48" i="7" s="1"/>
  <c r="AW50" i="7"/>
  <c r="Q46" i="7"/>
  <c r="AY52" i="7"/>
  <c r="Q49" i="7"/>
  <c r="O44" i="7"/>
  <c r="P44" i="7" s="1"/>
  <c r="AR42" i="7"/>
  <c r="AZ34" i="7"/>
  <c r="AY50" i="7"/>
  <c r="AR47" i="7"/>
  <c r="AW45" i="7"/>
  <c r="O43" i="7"/>
  <c r="P43" i="7" s="1"/>
  <c r="Q42" i="7"/>
  <c r="AZ44" i="7"/>
  <c r="AZ53" i="7"/>
  <c r="AV48" i="7"/>
  <c r="Q44" i="7"/>
  <c r="AY40" i="7"/>
  <c r="L52" i="7"/>
  <c r="Z52" i="7" s="1"/>
  <c r="Q27" i="8" s="1"/>
  <c r="Q41" i="7"/>
  <c r="L39" i="7"/>
  <c r="Z39" i="7" s="1"/>
  <c r="Q14" i="8" s="1"/>
  <c r="Q38" i="7"/>
  <c r="L37" i="7"/>
  <c r="Z37" i="7" s="1"/>
  <c r="Q12" i="8" s="1"/>
  <c r="AV52" i="7"/>
  <c r="L50" i="7"/>
  <c r="Z50" i="7" s="1"/>
  <c r="Q25" i="8" s="1"/>
  <c r="AX49" i="7"/>
  <c r="L49" i="7"/>
  <c r="Z49" i="7" s="1"/>
  <c r="Q24" i="8" s="1"/>
  <c r="AR40" i="7"/>
  <c r="AV39" i="7"/>
  <c r="AR39" i="7"/>
  <c r="CC34" i="7"/>
  <c r="AY41" i="7"/>
  <c r="O53" i="7"/>
  <c r="P53" i="7" s="1"/>
  <c r="Q50" i="7"/>
  <c r="O40" i="7"/>
  <c r="P40" i="7" s="1"/>
  <c r="AW41" i="7"/>
  <c r="AZ48" i="7"/>
  <c r="AX47" i="7"/>
  <c r="AY48" i="7"/>
  <c r="Q48" i="7"/>
  <c r="O38" i="7"/>
  <c r="L36" i="7"/>
  <c r="Z36" i="7" s="1"/>
  <c r="Q11" i="8" s="1"/>
  <c r="AN52" i="7"/>
  <c r="AV47" i="7"/>
  <c r="AO47" i="7"/>
  <c r="AY42" i="7"/>
  <c r="AW40" i="7"/>
  <c r="AY39" i="7"/>
  <c r="AR36" i="7"/>
  <c r="AO49" i="7"/>
  <c r="AR44" i="7"/>
  <c r="Q43" i="7"/>
  <c r="AW42" i="7"/>
  <c r="L41" i="7"/>
  <c r="Z41" i="7" s="1"/>
  <c r="Q16" i="8" s="1"/>
  <c r="AX39" i="7"/>
  <c r="C6" i="7"/>
  <c r="AZ51" i="7"/>
  <c r="O51" i="7"/>
  <c r="P51" i="7" s="1"/>
  <c r="L44" i="7"/>
  <c r="Z44" i="7" s="1"/>
  <c r="Q19" i="8" s="1"/>
  <c r="Q36" i="7"/>
  <c r="AY34" i="7"/>
  <c r="Q35" i="7"/>
  <c r="E11" i="7"/>
  <c r="F11" i="7" s="1"/>
  <c r="E8" i="7"/>
  <c r="F8" i="7" s="1"/>
  <c r="AM34" i="7"/>
  <c r="E13" i="7"/>
  <c r="F13" i="7" s="1"/>
  <c r="E7" i="7"/>
  <c r="F7" i="7" s="1"/>
  <c r="O34" i="7"/>
  <c r="P34" i="7" s="1"/>
  <c r="E12" i="7"/>
  <c r="F12" i="7" s="1"/>
  <c r="E6" i="7"/>
  <c r="F6" i="7" s="1"/>
  <c r="C12" i="7"/>
  <c r="C8" i="7"/>
  <c r="O35" i="7"/>
  <c r="AR34" i="7"/>
  <c r="C7" i="7"/>
  <c r="E10" i="7"/>
  <c r="F10" i="7" s="1"/>
  <c r="C11" i="7"/>
  <c r="E9" i="7"/>
  <c r="F9" i="7" s="1"/>
  <c r="G9" i="7" s="1"/>
  <c r="C10" i="7"/>
  <c r="AV51" i="7"/>
  <c r="AW51" i="7"/>
  <c r="AR53" i="7"/>
  <c r="AN45" i="7"/>
  <c r="L45" i="7"/>
  <c r="Z45" i="7" s="1"/>
  <c r="Q20" i="8" s="1"/>
  <c r="AO43" i="7"/>
  <c r="L43" i="7"/>
  <c r="Z43" i="7" s="1"/>
  <c r="Q18" i="8" s="1"/>
  <c r="AR52" i="7"/>
  <c r="AR51" i="7"/>
  <c r="AN48" i="7"/>
  <c r="L48" i="7"/>
  <c r="Z48" i="7" s="1"/>
  <c r="Q23" i="8" s="1"/>
  <c r="AW35" i="7"/>
  <c r="AV35" i="7"/>
  <c r="AY35" i="7"/>
  <c r="AV53" i="7"/>
  <c r="AY53" i="7"/>
  <c r="AW53" i="7"/>
  <c r="AR48" i="7"/>
  <c r="AW43" i="7"/>
  <c r="AV43" i="7"/>
  <c r="AY43" i="7"/>
  <c r="AE46" i="7"/>
  <c r="V21" i="8" s="1"/>
  <c r="AN37" i="7"/>
  <c r="Q53" i="7"/>
  <c r="AO53" i="7"/>
  <c r="L53" i="7"/>
  <c r="Z53" i="7" s="1"/>
  <c r="Q28" i="8" s="1"/>
  <c r="AY51" i="7"/>
  <c r="Q51" i="7"/>
  <c r="AO51" i="7"/>
  <c r="L51" i="7"/>
  <c r="Z51" i="7" s="1"/>
  <c r="Q26" i="8" s="1"/>
  <c r="AR50" i="7"/>
  <c r="Q47" i="7"/>
  <c r="O47" i="7"/>
  <c r="AY46" i="7"/>
  <c r="AX46" i="7"/>
  <c r="O46" i="7"/>
  <c r="AX45" i="7"/>
  <c r="AY45" i="7"/>
  <c r="AV44" i="7"/>
  <c r="AY44" i="7"/>
  <c r="Q39" i="7"/>
  <c r="O39" i="7"/>
  <c r="AY38" i="7"/>
  <c r="AX38" i="7"/>
  <c r="AR38" i="7"/>
  <c r="AX37" i="7"/>
  <c r="AY37" i="7"/>
  <c r="AV36" i="7"/>
  <c r="AY36" i="7"/>
  <c r="AR35" i="7"/>
  <c r="AE38" i="7"/>
  <c r="V13" i="8" s="1"/>
  <c r="AX52" i="7"/>
  <c r="AZ52" i="7"/>
  <c r="AZ50" i="7"/>
  <c r="AX50" i="7"/>
  <c r="O50" i="7"/>
  <c r="AV46" i="7"/>
  <c r="AW46" i="7"/>
  <c r="AO46" i="7"/>
  <c r="L46" i="7"/>
  <c r="Z46" i="7" s="1"/>
  <c r="Q21" i="8" s="1"/>
  <c r="AZ43" i="7"/>
  <c r="AX43" i="7"/>
  <c r="O42" i="7"/>
  <c r="AN40" i="7"/>
  <c r="L40" i="7"/>
  <c r="Z40" i="7" s="1"/>
  <c r="Q15" i="8" s="1"/>
  <c r="AV38" i="7"/>
  <c r="AW38" i="7"/>
  <c r="AO38" i="7"/>
  <c r="L38" i="7"/>
  <c r="Z38" i="7" s="1"/>
  <c r="Q13" i="8" s="1"/>
  <c r="AZ35" i="7"/>
  <c r="AX35" i="7"/>
  <c r="AE49" i="7"/>
  <c r="V24" i="8" s="1"/>
  <c r="O52" i="7"/>
  <c r="Q52" i="7"/>
  <c r="AV49" i="7"/>
  <c r="AY49" i="7"/>
  <c r="AR46" i="7"/>
  <c r="AR45" i="7"/>
  <c r="O45" i="7"/>
  <c r="Q45" i="7"/>
  <c r="AR43" i="7"/>
  <c r="P38" i="7"/>
  <c r="AR37" i="7"/>
  <c r="O37" i="7"/>
  <c r="Q37" i="7"/>
  <c r="AR49" i="7"/>
  <c r="AY47" i="7"/>
  <c r="AZ42" i="7"/>
  <c r="AO42" i="7"/>
  <c r="L42" i="7"/>
  <c r="AZ41" i="7"/>
  <c r="O41" i="7"/>
  <c r="O49" i="7"/>
  <c r="AR41" i="7"/>
  <c r="AE44" i="7"/>
  <c r="V19" i="8" s="1"/>
  <c r="AE36" i="7"/>
  <c r="AV34" i="7"/>
  <c r="Q34" i="7"/>
  <c r="CD34" i="7" l="1"/>
  <c r="E5" i="7"/>
  <c r="F5" i="7" s="1"/>
  <c r="C9" i="6"/>
  <c r="D17" i="7"/>
  <c r="C20" i="6"/>
  <c r="L95" i="24"/>
  <c r="D16" i="7"/>
  <c r="C19" i="6"/>
  <c r="L98" i="24"/>
  <c r="D8" i="7"/>
  <c r="D14" i="7"/>
  <c r="C17" i="6"/>
  <c r="D12" i="7"/>
  <c r="D15" i="7"/>
  <c r="C18" i="6"/>
  <c r="D19" i="7"/>
  <c r="L99" i="24"/>
  <c r="D18" i="7"/>
  <c r="C21" i="6"/>
  <c r="U137" i="25"/>
  <c r="S136" i="25"/>
  <c r="U143" i="25"/>
  <c r="U140" i="25"/>
  <c r="U141" i="25"/>
  <c r="T148" i="25"/>
  <c r="U144" i="25"/>
  <c r="U136" i="25"/>
  <c r="U142" i="25"/>
  <c r="U138" i="25"/>
  <c r="U145" i="25"/>
  <c r="U139" i="25"/>
  <c r="W121" i="25"/>
  <c r="X132" i="25"/>
  <c r="W129" i="25"/>
  <c r="W132" i="25"/>
  <c r="X124" i="25"/>
  <c r="W125" i="25"/>
  <c r="W127" i="25"/>
  <c r="W130" i="25"/>
  <c r="W126" i="25"/>
  <c r="X130" i="25"/>
  <c r="W128" i="25"/>
  <c r="W124" i="25"/>
  <c r="X121" i="25"/>
  <c r="E3" i="7"/>
  <c r="E4" i="7"/>
  <c r="F4" i="7" s="1"/>
  <c r="R48" i="7"/>
  <c r="AU48" i="7" s="1"/>
  <c r="R38" i="7"/>
  <c r="AP38" i="7" s="1"/>
  <c r="C15" i="6"/>
  <c r="BQ49" i="7"/>
  <c r="C4" i="4" s="1"/>
  <c r="R51" i="7"/>
  <c r="AP51" i="7" s="1"/>
  <c r="R44" i="7"/>
  <c r="AQ44" i="7" s="1"/>
  <c r="D6" i="7"/>
  <c r="R40" i="7"/>
  <c r="AU40" i="7" s="1"/>
  <c r="R43" i="7"/>
  <c r="AP43" i="7" s="1"/>
  <c r="R36" i="7"/>
  <c r="AP36" i="7" s="1"/>
  <c r="R53" i="7"/>
  <c r="AU53" i="7" s="1"/>
  <c r="D7" i="7"/>
  <c r="C10" i="6"/>
  <c r="C13" i="6"/>
  <c r="P35" i="7"/>
  <c r="R35" i="7" s="1"/>
  <c r="D11" i="7"/>
  <c r="C14" i="6"/>
  <c r="R34" i="7"/>
  <c r="AP34" i="7" s="1"/>
  <c r="C11" i="6"/>
  <c r="D10" i="7"/>
  <c r="V11" i="8"/>
  <c r="P49" i="7"/>
  <c r="R49" i="7" s="1"/>
  <c r="Z42" i="7"/>
  <c r="Q17" i="8" s="1"/>
  <c r="P37" i="7"/>
  <c r="R37" i="7" s="1"/>
  <c r="P42" i="7"/>
  <c r="R42" i="7" s="1"/>
  <c r="P50" i="7"/>
  <c r="R50" i="7" s="1"/>
  <c r="AU50" i="7" s="1"/>
  <c r="P47" i="7"/>
  <c r="R47" i="7" s="1"/>
  <c r="P46" i="7"/>
  <c r="P45" i="7"/>
  <c r="R45" i="7" s="1"/>
  <c r="P39" i="7"/>
  <c r="R39" i="7" s="1"/>
  <c r="P41" i="7"/>
  <c r="R41" i="7" s="1"/>
  <c r="P52" i="7"/>
  <c r="AQ51" i="7" l="1"/>
  <c r="E29" i="7"/>
  <c r="L92" i="24"/>
  <c r="L103" i="24"/>
  <c r="L100" i="24"/>
  <c r="L104" i="24"/>
  <c r="F3" i="7"/>
  <c r="F29" i="7" s="1"/>
  <c r="L107" i="24"/>
  <c r="L105" i="24"/>
  <c r="L106" i="24"/>
  <c r="L102" i="24"/>
  <c r="L94" i="24"/>
  <c r="L96" i="24"/>
  <c r="W140" i="25"/>
  <c r="W144" i="25"/>
  <c r="X136" i="25"/>
  <c r="W142" i="25"/>
  <c r="W138" i="25"/>
  <c r="W139" i="25"/>
  <c r="W141" i="25"/>
  <c r="W137" i="25"/>
  <c r="X144" i="25"/>
  <c r="W136" i="25"/>
  <c r="X142" i="25"/>
  <c r="X133" i="25"/>
  <c r="W133" i="25"/>
  <c r="U156" i="25"/>
  <c r="U151" i="25"/>
  <c r="U148" i="25"/>
  <c r="U157" i="25"/>
  <c r="U154" i="25"/>
  <c r="U155" i="25"/>
  <c r="U152" i="25"/>
  <c r="S148" i="25"/>
  <c r="T160" i="25"/>
  <c r="U153" i="25"/>
  <c r="U149" i="25"/>
  <c r="U150" i="25"/>
  <c r="AU51" i="7"/>
  <c r="BA51" i="7" s="1"/>
  <c r="AQ48" i="7"/>
  <c r="AU38" i="7"/>
  <c r="AQ38" i="7"/>
  <c r="AP48" i="7"/>
  <c r="AU44" i="7"/>
  <c r="AQ36" i="7"/>
  <c r="AU34" i="7"/>
  <c r="AU36" i="7"/>
  <c r="BQ50" i="7"/>
  <c r="AQ34" i="7"/>
  <c r="AU49" i="7"/>
  <c r="AP53" i="7"/>
  <c r="AQ53" i="7"/>
  <c r="AP44" i="7"/>
  <c r="AU43" i="7"/>
  <c r="AP40" i="7"/>
  <c r="AQ43" i="7"/>
  <c r="AQ40" i="7"/>
  <c r="R52" i="7"/>
  <c r="AU52" i="7" s="1"/>
  <c r="AP35" i="7"/>
  <c r="AQ35" i="7"/>
  <c r="AU35" i="7"/>
  <c r="AP41" i="7"/>
  <c r="AQ41" i="7"/>
  <c r="AP45" i="7"/>
  <c r="AQ45" i="7"/>
  <c r="AQ42" i="7"/>
  <c r="AP42" i="7"/>
  <c r="AU42" i="7"/>
  <c r="AQ39" i="7"/>
  <c r="AP39" i="7"/>
  <c r="AU39" i="7"/>
  <c r="AU45" i="7"/>
  <c r="R46" i="7"/>
  <c r="AQ47" i="7"/>
  <c r="AP47" i="7"/>
  <c r="AP50" i="7"/>
  <c r="AQ50" i="7"/>
  <c r="AP37" i="7"/>
  <c r="AQ37" i="7"/>
  <c r="AU41" i="7"/>
  <c r="AU37" i="7"/>
  <c r="AU47" i="7"/>
  <c r="AP49" i="7"/>
  <c r="AQ49" i="7"/>
  <c r="AD43" i="7" l="1"/>
  <c r="F100" i="24" s="1"/>
  <c r="H100" i="24" s="1"/>
  <c r="AD50" i="7"/>
  <c r="F107" i="24" s="1"/>
  <c r="H107" i="24" s="1"/>
  <c r="AD47" i="7"/>
  <c r="F104" i="24" s="1"/>
  <c r="H104" i="24" s="1"/>
  <c r="AD40" i="7"/>
  <c r="F97" i="24" s="1"/>
  <c r="H97" i="24" s="1"/>
  <c r="AD38" i="7"/>
  <c r="F95" i="24" s="1"/>
  <c r="H95" i="24" s="1"/>
  <c r="AD49" i="7"/>
  <c r="F106" i="24" s="1"/>
  <c r="H106" i="24" s="1"/>
  <c r="AD44" i="7"/>
  <c r="F101" i="24" s="1"/>
  <c r="H101" i="24" s="1"/>
  <c r="AD34" i="7"/>
  <c r="F91" i="24" s="1"/>
  <c r="H91" i="24" s="1"/>
  <c r="AD36" i="7"/>
  <c r="F93" i="24" s="1"/>
  <c r="H93" i="24" s="1"/>
  <c r="AD53" i="7"/>
  <c r="U28" i="8" s="1"/>
  <c r="AD48" i="7"/>
  <c r="F105" i="24" s="1"/>
  <c r="H105" i="24" s="1"/>
  <c r="AD42" i="7"/>
  <c r="F99" i="24" s="1"/>
  <c r="H99" i="24" s="1"/>
  <c r="AD45" i="7"/>
  <c r="F102" i="24" s="1"/>
  <c r="H102" i="24" s="1"/>
  <c r="AD37" i="7"/>
  <c r="F94" i="24" s="1"/>
  <c r="H94" i="24" s="1"/>
  <c r="AD39" i="7"/>
  <c r="F96" i="24" s="1"/>
  <c r="H96" i="24" s="1"/>
  <c r="AD41" i="7"/>
  <c r="F98" i="24" s="1"/>
  <c r="H98" i="24" s="1"/>
  <c r="AD51" i="7"/>
  <c r="U26" i="8" s="1"/>
  <c r="C3" i="7"/>
  <c r="AD35" i="7"/>
  <c r="C5" i="7" s="1"/>
  <c r="D5" i="7" s="1"/>
  <c r="C13" i="7"/>
  <c r="G3" i="7"/>
  <c r="X145" i="25"/>
  <c r="W145" i="25"/>
  <c r="T172" i="25"/>
  <c r="U162" i="25"/>
  <c r="U165" i="25"/>
  <c r="U163" i="25"/>
  <c r="U160" i="25"/>
  <c r="U169" i="25"/>
  <c r="U166" i="25"/>
  <c r="U164" i="25"/>
  <c r="U168" i="25"/>
  <c r="S160" i="25"/>
  <c r="U161" i="25"/>
  <c r="U167" i="25"/>
  <c r="X154" i="25"/>
  <c r="W151" i="25"/>
  <c r="W148" i="25"/>
  <c r="W154" i="25"/>
  <c r="X156" i="25"/>
  <c r="W152" i="25"/>
  <c r="W156" i="25"/>
  <c r="W153" i="25"/>
  <c r="W149" i="25"/>
  <c r="X148" i="25"/>
  <c r="W150" i="25"/>
  <c r="BA44" i="7"/>
  <c r="BA48" i="7"/>
  <c r="BA38" i="7"/>
  <c r="BA36" i="7"/>
  <c r="BA34" i="7"/>
  <c r="AE34" i="7" s="1"/>
  <c r="V9" i="8" s="1"/>
  <c r="BA40" i="7"/>
  <c r="BA43" i="7"/>
  <c r="AP52" i="7"/>
  <c r="BA53" i="7"/>
  <c r="AQ52" i="7"/>
  <c r="BA35" i="7"/>
  <c r="AE35" i="7" s="1"/>
  <c r="BA45" i="7"/>
  <c r="BA50" i="7"/>
  <c r="AQ46" i="7"/>
  <c r="AP46" i="7"/>
  <c r="BA42" i="7"/>
  <c r="BA49" i="7"/>
  <c r="BA47" i="7"/>
  <c r="BA39" i="7"/>
  <c r="BA41" i="7"/>
  <c r="BA37" i="7"/>
  <c r="AU46" i="7"/>
  <c r="U24" i="8" l="1"/>
  <c r="U22" i="8"/>
  <c r="U23" i="8"/>
  <c r="U25" i="8"/>
  <c r="U12" i="8"/>
  <c r="U13" i="8"/>
  <c r="U18" i="8"/>
  <c r="U11" i="8"/>
  <c r="U20" i="8"/>
  <c r="U17" i="8"/>
  <c r="U16" i="8"/>
  <c r="U15" i="8"/>
  <c r="U14" i="8"/>
  <c r="U19" i="8"/>
  <c r="AD52" i="7"/>
  <c r="U27" i="8" s="1"/>
  <c r="AD46" i="7"/>
  <c r="F103" i="24" s="1"/>
  <c r="H103" i="24" s="1"/>
  <c r="W157" i="25"/>
  <c r="X157" i="25"/>
  <c r="F92" i="24"/>
  <c r="C8" i="6"/>
  <c r="L93" i="24"/>
  <c r="D13" i="7"/>
  <c r="C16" i="6"/>
  <c r="L108" i="24"/>
  <c r="L112" i="24"/>
  <c r="L109" i="24"/>
  <c r="L111" i="24"/>
  <c r="C9" i="7"/>
  <c r="C29" i="7" s="1"/>
  <c r="W162" i="25"/>
  <c r="X168" i="25"/>
  <c r="W165" i="25"/>
  <c r="W168" i="25"/>
  <c r="X160" i="25"/>
  <c r="W166" i="25"/>
  <c r="X166" i="25"/>
  <c r="W164" i="25"/>
  <c r="W160" i="25"/>
  <c r="W161" i="25"/>
  <c r="W163" i="25"/>
  <c r="U180" i="25"/>
  <c r="U181" i="25"/>
  <c r="U178" i="25"/>
  <c r="U173" i="25"/>
  <c r="S172" i="25"/>
  <c r="U179" i="25"/>
  <c r="U176" i="25"/>
  <c r="T184" i="25"/>
  <c r="U174" i="25"/>
  <c r="U175" i="25"/>
  <c r="U177" i="25"/>
  <c r="U172" i="25"/>
  <c r="U9" i="8"/>
  <c r="BA52" i="7"/>
  <c r="V10" i="8"/>
  <c r="BA31" i="7"/>
  <c r="AR31" i="7"/>
  <c r="AV31" i="7"/>
  <c r="AL31" i="7"/>
  <c r="AO31" i="7"/>
  <c r="AX31" i="7"/>
  <c r="AN31" i="7"/>
  <c r="AZ31" i="7"/>
  <c r="AU31" i="7"/>
  <c r="AT31" i="7"/>
  <c r="AP31" i="7"/>
  <c r="AM31" i="7"/>
  <c r="AW31" i="7"/>
  <c r="AQ31" i="7"/>
  <c r="AS31" i="7"/>
  <c r="AY31" i="7"/>
  <c r="U10" i="8"/>
  <c r="BA46" i="7"/>
  <c r="U21" i="8" l="1"/>
  <c r="F114" i="24"/>
  <c r="F115" i="24" s="1"/>
  <c r="H92" i="24"/>
  <c r="H114" i="24" s="1"/>
  <c r="C29" i="6"/>
  <c r="D9" i="7"/>
  <c r="C12" i="6"/>
  <c r="C6" i="6"/>
  <c r="X178" i="25"/>
  <c r="W175" i="25"/>
  <c r="W172" i="25"/>
  <c r="W173" i="25"/>
  <c r="W176" i="25"/>
  <c r="W174" i="25"/>
  <c r="X180" i="25"/>
  <c r="W177" i="25"/>
  <c r="W178" i="25"/>
  <c r="W180" i="25"/>
  <c r="X172" i="25"/>
  <c r="W169" i="25"/>
  <c r="X169" i="25"/>
  <c r="T196" i="25"/>
  <c r="U189" i="25"/>
  <c r="U192" i="25"/>
  <c r="U187" i="25"/>
  <c r="U184" i="25"/>
  <c r="U193" i="25"/>
  <c r="U190" i="25"/>
  <c r="U185" i="25"/>
  <c r="S184" i="25"/>
  <c r="U188" i="25"/>
  <c r="U186" i="25"/>
  <c r="U191" i="25"/>
  <c r="D3" i="7"/>
  <c r="C7" i="6"/>
  <c r="D4" i="7"/>
  <c r="D29" i="7" l="1"/>
  <c r="G29" i="7" s="1"/>
  <c r="L101" i="24"/>
  <c r="L97" i="24"/>
  <c r="L110" i="24"/>
  <c r="W186" i="25"/>
  <c r="X192" i="25"/>
  <c r="W192" i="25"/>
  <c r="X184" i="25"/>
  <c r="X190" i="25"/>
  <c r="W187" i="25"/>
  <c r="W184" i="25"/>
  <c r="W190" i="25"/>
  <c r="W185" i="25"/>
  <c r="W188" i="25"/>
  <c r="W189" i="25"/>
  <c r="U204" i="25"/>
  <c r="U202" i="25"/>
  <c r="U197" i="25"/>
  <c r="S196" i="25"/>
  <c r="U205" i="25"/>
  <c r="U200" i="25"/>
  <c r="U203" i="25"/>
  <c r="U198" i="25"/>
  <c r="U201" i="25"/>
  <c r="T208" i="25"/>
  <c r="U199" i="25"/>
  <c r="U196" i="25"/>
  <c r="X181" i="25"/>
  <c r="W181" i="25"/>
  <c r="H29" i="7" l="1"/>
  <c r="C30" i="6" s="1"/>
  <c r="H115" i="24"/>
  <c r="R89" i="24" s="1"/>
  <c r="L91" i="24"/>
  <c r="W202" i="25"/>
  <c r="W197" i="25"/>
  <c r="W200" i="25"/>
  <c r="W198" i="25"/>
  <c r="W201" i="25"/>
  <c r="X196" i="25"/>
  <c r="X204" i="25"/>
  <c r="W199" i="25"/>
  <c r="W196" i="25"/>
  <c r="X202" i="25"/>
  <c r="W204" i="25"/>
  <c r="W193" i="25"/>
  <c r="U210" i="25"/>
  <c r="U214" i="25"/>
  <c r="U217" i="25"/>
  <c r="U212" i="25"/>
  <c r="U215" i="25"/>
  <c r="U213" i="25"/>
  <c r="T220" i="25"/>
  <c r="U208" i="25"/>
  <c r="U216" i="25"/>
  <c r="U211" i="25"/>
  <c r="S208" i="25"/>
  <c r="U209" i="25"/>
  <c r="X193" i="25"/>
  <c r="K114" i="24" l="1"/>
  <c r="L114" i="24"/>
  <c r="W205" i="25"/>
  <c r="X216" i="25"/>
  <c r="W213" i="25"/>
  <c r="W212" i="25"/>
  <c r="W210" i="25"/>
  <c r="X208" i="25"/>
  <c r="W208" i="25"/>
  <c r="W216" i="25"/>
  <c r="W211" i="25"/>
  <c r="X214" i="25"/>
  <c r="W209" i="25"/>
  <c r="W214" i="25"/>
  <c r="X205" i="25"/>
  <c r="U228" i="25"/>
  <c r="U223" i="25"/>
  <c r="U220" i="25"/>
  <c r="U221" i="25"/>
  <c r="S220" i="25"/>
  <c r="U229" i="25"/>
  <c r="U227" i="25"/>
  <c r="U225" i="25"/>
  <c r="U224" i="25"/>
  <c r="U222" i="25"/>
  <c r="U226" i="25"/>
  <c r="T232" i="25"/>
  <c r="X226" i="25" l="1"/>
  <c r="W223" i="25"/>
  <c r="W226" i="25"/>
  <c r="W224" i="25"/>
  <c r="W222" i="25"/>
  <c r="X228" i="25"/>
  <c r="X220" i="25"/>
  <c r="W228" i="25"/>
  <c r="W220" i="25"/>
  <c r="W225" i="25"/>
  <c r="W221" i="25"/>
  <c r="U239" i="25"/>
  <c r="T244" i="25"/>
  <c r="U234" i="25"/>
  <c r="U240" i="25"/>
  <c r="U237" i="25"/>
  <c r="U241" i="25"/>
  <c r="U238" i="25"/>
  <c r="U236" i="25"/>
  <c r="U232" i="25"/>
  <c r="S232" i="25"/>
  <c r="U233" i="25"/>
  <c r="U235" i="25"/>
  <c r="W217" i="25"/>
  <c r="X217" i="25"/>
  <c r="W229" i="25" l="1"/>
  <c r="X229" i="25"/>
  <c r="W234" i="25"/>
  <c r="X240" i="25"/>
  <c r="W237" i="25"/>
  <c r="X238" i="25"/>
  <c r="W235" i="25"/>
  <c r="W232" i="25"/>
  <c r="W238" i="25"/>
  <c r="W236" i="25"/>
  <c r="X232" i="25"/>
  <c r="W240" i="25"/>
  <c r="W233" i="25"/>
  <c r="U247" i="25"/>
  <c r="U244" i="25"/>
  <c r="U253" i="25"/>
  <c r="U250" i="25"/>
  <c r="U245" i="25"/>
  <c r="S244" i="25"/>
  <c r="T256" i="25"/>
  <c r="U248" i="25"/>
  <c r="U252" i="25"/>
  <c r="U249" i="25"/>
  <c r="U251" i="25"/>
  <c r="U246" i="25"/>
  <c r="W241" i="25" l="1"/>
  <c r="T268" i="25"/>
  <c r="U258" i="25"/>
  <c r="U261" i="25"/>
  <c r="U264" i="25"/>
  <c r="U265" i="25"/>
  <c r="U262" i="25"/>
  <c r="U257" i="25"/>
  <c r="U259" i="25"/>
  <c r="U263" i="25"/>
  <c r="U256" i="25"/>
  <c r="S256" i="25"/>
  <c r="U260" i="25"/>
  <c r="W250" i="25"/>
  <c r="W245" i="25"/>
  <c r="W248" i="25"/>
  <c r="W246" i="25"/>
  <c r="X252" i="25"/>
  <c r="W252" i="25"/>
  <c r="X250" i="25"/>
  <c r="W249" i="25"/>
  <c r="W247" i="25"/>
  <c r="X244" i="25"/>
  <c r="W244" i="25"/>
  <c r="X241" i="25"/>
  <c r="U277" i="25" l="1"/>
  <c r="U274" i="25"/>
  <c r="U269" i="25"/>
  <c r="S268" i="25"/>
  <c r="U275" i="25"/>
  <c r="U272" i="25"/>
  <c r="T280" i="25"/>
  <c r="U273" i="25"/>
  <c r="U276" i="25"/>
  <c r="U271" i="25"/>
  <c r="U268" i="25"/>
  <c r="U270" i="25"/>
  <c r="X253" i="25"/>
  <c r="W253" i="25"/>
  <c r="X264" i="25"/>
  <c r="W261" i="25"/>
  <c r="W264" i="25"/>
  <c r="X256" i="25"/>
  <c r="X262" i="25"/>
  <c r="W259" i="25"/>
  <c r="W256" i="25"/>
  <c r="W257" i="25"/>
  <c r="W260" i="25"/>
  <c r="W258" i="25"/>
  <c r="W262" i="25"/>
  <c r="U288" i="25" l="1"/>
  <c r="U286" i="25"/>
  <c r="U284" i="25"/>
  <c r="U282" i="25"/>
  <c r="T292" i="25"/>
  <c r="U289" i="25"/>
  <c r="U287" i="25"/>
  <c r="U280" i="25"/>
  <c r="U285" i="25"/>
  <c r="U283" i="25"/>
  <c r="U281" i="25"/>
  <c r="S280" i="25"/>
  <c r="X265" i="25"/>
  <c r="W265" i="25"/>
  <c r="W274" i="25"/>
  <c r="W269" i="25"/>
  <c r="W272" i="25"/>
  <c r="W270" i="25"/>
  <c r="X276" i="25"/>
  <c r="W276" i="25"/>
  <c r="X268" i="25"/>
  <c r="W271" i="25"/>
  <c r="W273" i="25"/>
  <c r="W268" i="25"/>
  <c r="X274" i="25"/>
  <c r="W277" i="25" l="1"/>
  <c r="X277" i="25"/>
  <c r="T304" i="25"/>
  <c r="U292" i="25"/>
  <c r="U301" i="25"/>
  <c r="U299" i="25"/>
  <c r="S292" i="25"/>
  <c r="U297" i="25"/>
  <c r="U295" i="25"/>
  <c r="U293" i="25"/>
  <c r="U298" i="25"/>
  <c r="U294" i="25"/>
  <c r="U300" i="25"/>
  <c r="U296" i="25"/>
  <c r="X280" i="25"/>
  <c r="W280" i="25"/>
  <c r="W285" i="25"/>
  <c r="W283" i="25"/>
  <c r="W281" i="25"/>
  <c r="X288" i="25"/>
  <c r="X286" i="25"/>
  <c r="W282" i="25"/>
  <c r="W288" i="25"/>
  <c r="W284" i="25"/>
  <c r="W286" i="25"/>
  <c r="X289" i="25" l="1"/>
  <c r="W297" i="25"/>
  <c r="W295" i="25"/>
  <c r="W293" i="25"/>
  <c r="X300" i="25"/>
  <c r="X298" i="25"/>
  <c r="W300" i="25"/>
  <c r="W298" i="25"/>
  <c r="W296" i="25"/>
  <c r="W294" i="25"/>
  <c r="X292" i="25"/>
  <c r="W292" i="25"/>
  <c r="W289" i="25"/>
  <c r="U313" i="25"/>
  <c r="U311" i="25"/>
  <c r="S304" i="25"/>
  <c r="U309" i="25"/>
  <c r="U307" i="25"/>
  <c r="U305" i="25"/>
  <c r="U312" i="25"/>
  <c r="U310" i="25"/>
  <c r="U308" i="25"/>
  <c r="U306" i="25"/>
  <c r="T316" i="25"/>
  <c r="U304" i="25"/>
  <c r="U325" i="25" l="1"/>
  <c r="U323" i="25"/>
  <c r="S316" i="25"/>
  <c r="U321" i="25"/>
  <c r="U319" i="25"/>
  <c r="U317" i="25"/>
  <c r="U324" i="25"/>
  <c r="U322" i="25"/>
  <c r="U320" i="25"/>
  <c r="U318" i="25"/>
  <c r="T328" i="25"/>
  <c r="U316" i="25"/>
  <c r="W309" i="25"/>
  <c r="W307" i="25"/>
  <c r="W305" i="25"/>
  <c r="X312" i="25"/>
  <c r="X310" i="25"/>
  <c r="W312" i="25"/>
  <c r="W310" i="25"/>
  <c r="W308" i="25"/>
  <c r="W306" i="25"/>
  <c r="X304" i="25"/>
  <c r="W304" i="25"/>
  <c r="W301" i="25"/>
  <c r="X301" i="25"/>
  <c r="W313" i="25" l="1"/>
  <c r="X313" i="25"/>
  <c r="U333" i="25"/>
  <c r="U331" i="25"/>
  <c r="U329" i="25"/>
  <c r="U336" i="25"/>
  <c r="U334" i="25"/>
  <c r="U332" i="25"/>
  <c r="U330" i="25"/>
  <c r="T340" i="25"/>
  <c r="U328" i="25"/>
  <c r="U337" i="25"/>
  <c r="U335" i="25"/>
  <c r="S328" i="25"/>
  <c r="W321" i="25"/>
  <c r="W319" i="25"/>
  <c r="W317" i="25"/>
  <c r="X324" i="25"/>
  <c r="X322" i="25"/>
  <c r="W324" i="25"/>
  <c r="W322" i="25"/>
  <c r="W320" i="25"/>
  <c r="W318" i="25"/>
  <c r="X316" i="25"/>
  <c r="W316" i="25"/>
  <c r="X325" i="25" l="1"/>
  <c r="U348" i="25"/>
  <c r="U346" i="25"/>
  <c r="U344" i="25"/>
  <c r="U342" i="25"/>
  <c r="T352" i="25"/>
  <c r="U340" i="25"/>
  <c r="U349" i="25"/>
  <c r="U347" i="25"/>
  <c r="S340" i="25"/>
  <c r="U343" i="25"/>
  <c r="U345" i="25"/>
  <c r="U341" i="25"/>
  <c r="W325" i="25"/>
  <c r="X336" i="25"/>
  <c r="X334" i="25"/>
  <c r="W336" i="25"/>
  <c r="W334" i="25"/>
  <c r="W332" i="25"/>
  <c r="W330" i="25"/>
  <c r="X328" i="25"/>
  <c r="W328" i="25"/>
  <c r="W333" i="25"/>
  <c r="W329" i="25"/>
  <c r="W331" i="25"/>
  <c r="X337" i="25" l="1"/>
  <c r="W337" i="25"/>
  <c r="U360" i="25"/>
  <c r="U358" i="25"/>
  <c r="U356" i="25"/>
  <c r="U354" i="25"/>
  <c r="T364" i="25"/>
  <c r="U352" i="25"/>
  <c r="U361" i="25"/>
  <c r="U359" i="25"/>
  <c r="S352" i="25"/>
  <c r="U357" i="25"/>
  <c r="U355" i="25"/>
  <c r="U353" i="25"/>
  <c r="X348" i="25"/>
  <c r="X346" i="25"/>
  <c r="W348" i="25"/>
  <c r="W346" i="25"/>
  <c r="W344" i="25"/>
  <c r="W342" i="25"/>
  <c r="X340" i="25"/>
  <c r="W340" i="25"/>
  <c r="W345" i="25"/>
  <c r="W343" i="25"/>
  <c r="W341" i="25"/>
  <c r="X349" i="25" l="1"/>
  <c r="U372" i="25"/>
  <c r="U370" i="25"/>
  <c r="U368" i="25"/>
  <c r="U366" i="25"/>
  <c r="T376" i="25"/>
  <c r="U364" i="25"/>
  <c r="U373" i="25"/>
  <c r="U371" i="25"/>
  <c r="S364" i="25"/>
  <c r="U369" i="25"/>
  <c r="U367" i="25"/>
  <c r="U365" i="25"/>
  <c r="W349" i="25"/>
  <c r="X360" i="25"/>
  <c r="X358" i="25"/>
  <c r="W360" i="25"/>
  <c r="W358" i="25"/>
  <c r="W356" i="25"/>
  <c r="W354" i="25"/>
  <c r="X352" i="25"/>
  <c r="W352" i="25"/>
  <c r="W357" i="25"/>
  <c r="W355" i="25"/>
  <c r="W353" i="25"/>
  <c r="X361" i="25" l="1"/>
  <c r="W372" i="25"/>
  <c r="W370" i="25"/>
  <c r="W368" i="25"/>
  <c r="W366" i="25"/>
  <c r="X364" i="25"/>
  <c r="W364" i="25"/>
  <c r="W369" i="25"/>
  <c r="W367" i="25"/>
  <c r="W365" i="25"/>
  <c r="X370" i="25"/>
  <c r="X372" i="25"/>
  <c r="W361" i="25"/>
  <c r="U384" i="25"/>
  <c r="U382" i="25"/>
  <c r="U380" i="25"/>
  <c r="U378" i="25"/>
  <c r="T388" i="25"/>
  <c r="U376" i="25"/>
  <c r="U385" i="25"/>
  <c r="U383" i="25"/>
  <c r="S376" i="25"/>
  <c r="U381" i="25"/>
  <c r="U379" i="25"/>
  <c r="U377" i="25"/>
  <c r="W373" i="25" l="1"/>
  <c r="W376" i="25"/>
  <c r="W381" i="25"/>
  <c r="W379" i="25"/>
  <c r="W377" i="25"/>
  <c r="X384" i="25"/>
  <c r="X382" i="25"/>
  <c r="W384" i="25"/>
  <c r="W380" i="25"/>
  <c r="X376" i="25"/>
  <c r="W382" i="25"/>
  <c r="W378" i="25"/>
  <c r="X373" i="25"/>
  <c r="T400" i="25"/>
  <c r="U388" i="25"/>
  <c r="U397" i="25"/>
  <c r="U395" i="25"/>
  <c r="S388" i="25"/>
  <c r="U393" i="25"/>
  <c r="U391" i="25"/>
  <c r="U389" i="25"/>
  <c r="U394" i="25"/>
  <c r="U390" i="25"/>
  <c r="U396" i="25"/>
  <c r="U392" i="25"/>
  <c r="W393" i="25" l="1"/>
  <c r="W391" i="25"/>
  <c r="W389" i="25"/>
  <c r="X396" i="25"/>
  <c r="X394" i="25"/>
  <c r="W396" i="25"/>
  <c r="W394" i="25"/>
  <c r="W392" i="25"/>
  <c r="W390" i="25"/>
  <c r="X388" i="25"/>
  <c r="W388" i="25"/>
  <c r="W385" i="25"/>
  <c r="U409" i="25"/>
  <c r="U407" i="25"/>
  <c r="S400" i="25"/>
  <c r="U405" i="25"/>
  <c r="U403" i="25"/>
  <c r="U401" i="25"/>
  <c r="U408" i="25"/>
  <c r="U406" i="25"/>
  <c r="U404" i="25"/>
  <c r="U402" i="25"/>
  <c r="T412" i="25"/>
  <c r="U400" i="25"/>
  <c r="X385" i="25"/>
  <c r="U417" i="25" l="1"/>
  <c r="T424" i="25"/>
  <c r="S412" i="25"/>
  <c r="U419" i="25"/>
  <c r="U415" i="25"/>
  <c r="U413" i="25"/>
  <c r="U421" i="25"/>
  <c r="U416" i="25"/>
  <c r="U414" i="25"/>
  <c r="U420" i="25"/>
  <c r="U418" i="25"/>
  <c r="U412" i="25"/>
  <c r="X397" i="25"/>
  <c r="W405" i="25"/>
  <c r="W403" i="25"/>
  <c r="W401" i="25"/>
  <c r="X408" i="25"/>
  <c r="X406" i="25"/>
  <c r="W408" i="25"/>
  <c r="W406" i="25"/>
  <c r="W404" i="25"/>
  <c r="W402" i="25"/>
  <c r="X400" i="25"/>
  <c r="W400" i="25"/>
  <c r="W397" i="25"/>
  <c r="X409" i="25" l="1"/>
  <c r="X420" i="25"/>
  <c r="W415" i="25"/>
  <c r="W413" i="25"/>
  <c r="W417" i="25"/>
  <c r="X418" i="25"/>
  <c r="W416" i="25"/>
  <c r="W414" i="25"/>
  <c r="X412" i="25"/>
  <c r="W420" i="25"/>
  <c r="W418" i="25"/>
  <c r="W412" i="25"/>
  <c r="U432" i="25"/>
  <c r="U430" i="25"/>
  <c r="U428" i="25"/>
  <c r="U426" i="25"/>
  <c r="U433" i="25"/>
  <c r="U431" i="25"/>
  <c r="S424" i="25"/>
  <c r="U429" i="25"/>
  <c r="U425" i="25"/>
  <c r="U427" i="25"/>
  <c r="T436" i="25"/>
  <c r="U424" i="25"/>
  <c r="W409" i="25"/>
  <c r="W421" i="25" l="1"/>
  <c r="X421" i="25"/>
  <c r="U444" i="25"/>
  <c r="U442" i="25"/>
  <c r="U440" i="25"/>
  <c r="U438" i="25"/>
  <c r="T448" i="25"/>
  <c r="U436" i="25"/>
  <c r="U445" i="25"/>
  <c r="U443" i="25"/>
  <c r="S436" i="25"/>
  <c r="U441" i="25"/>
  <c r="U439" i="25"/>
  <c r="U437" i="25"/>
  <c r="W432" i="25"/>
  <c r="W430" i="25"/>
  <c r="W428" i="25"/>
  <c r="W426" i="25"/>
  <c r="X424" i="25"/>
  <c r="W424" i="25"/>
  <c r="W429" i="25"/>
  <c r="W427" i="25"/>
  <c r="W425" i="25"/>
  <c r="X432" i="25"/>
  <c r="X430" i="25"/>
  <c r="T460" i="25" l="1"/>
  <c r="U448" i="25"/>
  <c r="U457" i="25"/>
  <c r="U455" i="25"/>
  <c r="S448" i="25"/>
  <c r="U453" i="25"/>
  <c r="U451" i="25"/>
  <c r="U449" i="25"/>
  <c r="U454" i="25"/>
  <c r="U450" i="25"/>
  <c r="U456" i="25"/>
  <c r="U452" i="25"/>
  <c r="W436" i="25"/>
  <c r="W441" i="25"/>
  <c r="W439" i="25"/>
  <c r="W437" i="25"/>
  <c r="X444" i="25"/>
  <c r="X442" i="25"/>
  <c r="W438" i="25"/>
  <c r="W444" i="25"/>
  <c r="W440" i="25"/>
  <c r="X436" i="25"/>
  <c r="W442" i="25"/>
  <c r="X433" i="25"/>
  <c r="W433" i="25"/>
  <c r="X445" i="25" l="1"/>
  <c r="W445" i="25"/>
  <c r="W453" i="25"/>
  <c r="W451" i="25"/>
  <c r="W449" i="25"/>
  <c r="X456" i="25"/>
  <c r="X454" i="25"/>
  <c r="W456" i="25"/>
  <c r="W454" i="25"/>
  <c r="W452" i="25"/>
  <c r="W450" i="25"/>
  <c r="X448" i="25"/>
  <c r="W448" i="25"/>
  <c r="U469" i="25"/>
  <c r="U467" i="25"/>
  <c r="S460" i="25"/>
  <c r="U465" i="25"/>
  <c r="U463" i="25"/>
  <c r="U461" i="25"/>
  <c r="U468" i="25"/>
  <c r="U466" i="25"/>
  <c r="U464" i="25"/>
  <c r="U462" i="25"/>
  <c r="T472" i="25"/>
  <c r="U460" i="25"/>
  <c r="U481" i="25" l="1"/>
  <c r="U479" i="25"/>
  <c r="S472" i="25"/>
  <c r="U477" i="25"/>
  <c r="U475" i="25"/>
  <c r="U473" i="25"/>
  <c r="U480" i="25"/>
  <c r="U478" i="25"/>
  <c r="U476" i="25"/>
  <c r="U474" i="25"/>
  <c r="T484" i="25"/>
  <c r="U472" i="25"/>
  <c r="W465" i="25"/>
  <c r="W463" i="25"/>
  <c r="W461" i="25"/>
  <c r="X468" i="25"/>
  <c r="X466" i="25"/>
  <c r="W468" i="25"/>
  <c r="W466" i="25"/>
  <c r="W464" i="25"/>
  <c r="W462" i="25"/>
  <c r="X460" i="25"/>
  <c r="W460" i="25"/>
  <c r="X457" i="25"/>
  <c r="W457" i="25"/>
  <c r="W469" i="25" l="1"/>
  <c r="X469" i="25"/>
  <c r="W477" i="25"/>
  <c r="W475" i="25"/>
  <c r="W473" i="25"/>
  <c r="X480" i="25"/>
  <c r="X478" i="25"/>
  <c r="W480" i="25"/>
  <c r="W478" i="25"/>
  <c r="W476" i="25"/>
  <c r="W474" i="25"/>
  <c r="X472" i="25"/>
  <c r="W472" i="25"/>
  <c r="U489" i="25"/>
  <c r="U487" i="25"/>
  <c r="U485" i="25"/>
  <c r="U492" i="25"/>
  <c r="U490" i="25"/>
  <c r="U488" i="25"/>
  <c r="U486" i="25"/>
  <c r="T496" i="25"/>
  <c r="U484" i="25"/>
  <c r="S484" i="25"/>
  <c r="U493" i="25"/>
  <c r="U491" i="25"/>
  <c r="X492" i="25" l="1"/>
  <c r="X490" i="25"/>
  <c r="W492" i="25"/>
  <c r="W490" i="25"/>
  <c r="W488" i="25"/>
  <c r="W486" i="25"/>
  <c r="X484" i="25"/>
  <c r="W484" i="25"/>
  <c r="W487" i="25"/>
  <c r="W489" i="25"/>
  <c r="W485" i="25"/>
  <c r="W481" i="25"/>
  <c r="U504" i="25"/>
  <c r="U502" i="25"/>
  <c r="U500" i="25"/>
  <c r="U498" i="25"/>
  <c r="T508" i="25"/>
  <c r="U496" i="25"/>
  <c r="U505" i="25"/>
  <c r="U503" i="25"/>
  <c r="S496" i="25"/>
  <c r="U497" i="25"/>
  <c r="U499" i="25"/>
  <c r="U501" i="25"/>
  <c r="X481" i="25"/>
  <c r="X493" i="25" l="1"/>
  <c r="W493" i="25"/>
  <c r="X504" i="25"/>
  <c r="X502" i="25"/>
  <c r="W504" i="25"/>
  <c r="W502" i="25"/>
  <c r="W500" i="25"/>
  <c r="W498" i="25"/>
  <c r="X496" i="25"/>
  <c r="W496" i="25"/>
  <c r="W501" i="25"/>
  <c r="W499" i="25"/>
  <c r="W497" i="25"/>
  <c r="U516" i="25"/>
  <c r="U514" i="25"/>
  <c r="U512" i="25"/>
  <c r="U510" i="25"/>
  <c r="T520" i="25"/>
  <c r="U508" i="25"/>
  <c r="U517" i="25"/>
  <c r="U515" i="25"/>
  <c r="S508" i="25"/>
  <c r="U513" i="25"/>
  <c r="U511" i="25"/>
  <c r="U509" i="25"/>
  <c r="X505" i="25" l="1"/>
  <c r="X516" i="25"/>
  <c r="X514" i="25"/>
  <c r="W516" i="25"/>
  <c r="W514" i="25"/>
  <c r="W512" i="25"/>
  <c r="W510" i="25"/>
  <c r="X508" i="25"/>
  <c r="W508" i="25"/>
  <c r="W513" i="25"/>
  <c r="W511" i="25"/>
  <c r="W509" i="25"/>
  <c r="U528" i="25"/>
  <c r="U526" i="25"/>
  <c r="U524" i="25"/>
  <c r="U522" i="25"/>
  <c r="T532" i="25"/>
  <c r="U520" i="25"/>
  <c r="U529" i="25"/>
  <c r="U527" i="25"/>
  <c r="S520" i="25"/>
  <c r="U525" i="25"/>
  <c r="U523" i="25"/>
  <c r="U521" i="25"/>
  <c r="W505" i="25"/>
  <c r="W517" i="25" l="1"/>
  <c r="X517" i="25"/>
  <c r="U540" i="25"/>
  <c r="U538" i="25"/>
  <c r="U536" i="25"/>
  <c r="U534" i="25"/>
  <c r="T544" i="25"/>
  <c r="U532" i="25"/>
  <c r="U541" i="25"/>
  <c r="U539" i="25"/>
  <c r="S532" i="25"/>
  <c r="U537" i="25"/>
  <c r="U535" i="25"/>
  <c r="U533" i="25"/>
  <c r="W528" i="25"/>
  <c r="W526" i="25"/>
  <c r="W524" i="25"/>
  <c r="W522" i="25"/>
  <c r="X520" i="25"/>
  <c r="W520" i="25"/>
  <c r="W525" i="25"/>
  <c r="W523" i="25"/>
  <c r="W521" i="25"/>
  <c r="X526" i="25"/>
  <c r="X528" i="25"/>
  <c r="W529" i="25" l="1"/>
  <c r="T556" i="25"/>
  <c r="U544" i="25"/>
  <c r="U553" i="25"/>
  <c r="U551" i="25"/>
  <c r="S544" i="25"/>
  <c r="U549" i="25"/>
  <c r="U547" i="25"/>
  <c r="U545" i="25"/>
  <c r="U550" i="25"/>
  <c r="U546" i="25"/>
  <c r="U552" i="25"/>
  <c r="U548" i="25"/>
  <c r="X529" i="25"/>
  <c r="W532" i="25"/>
  <c r="W537" i="25"/>
  <c r="W535" i="25"/>
  <c r="W533" i="25"/>
  <c r="X540" i="25"/>
  <c r="X538" i="25"/>
  <c r="W534" i="25"/>
  <c r="W540" i="25"/>
  <c r="W536" i="25"/>
  <c r="X532" i="25"/>
  <c r="W538" i="25"/>
  <c r="X541" i="25" l="1"/>
  <c r="W541" i="25"/>
  <c r="W549" i="25"/>
  <c r="W547" i="25"/>
  <c r="W545" i="25"/>
  <c r="X552" i="25"/>
  <c r="X550" i="25"/>
  <c r="W552" i="25"/>
  <c r="W550" i="25"/>
  <c r="W548" i="25"/>
  <c r="W546" i="25"/>
  <c r="X544" i="25"/>
  <c r="W544" i="25"/>
  <c r="U565" i="25"/>
  <c r="U563" i="25"/>
  <c r="S556" i="25"/>
  <c r="U561" i="25"/>
  <c r="U559" i="25"/>
  <c r="U557" i="25"/>
  <c r="U564" i="25"/>
  <c r="U562" i="25"/>
  <c r="U560" i="25"/>
  <c r="U558" i="25"/>
  <c r="T568" i="25"/>
  <c r="U556" i="25"/>
  <c r="W553" i="25" l="1"/>
  <c r="X553" i="25"/>
  <c r="W561" i="25"/>
  <c r="W559" i="25"/>
  <c r="W557" i="25"/>
  <c r="X564" i="25"/>
  <c r="X562" i="25"/>
  <c r="W564" i="25"/>
  <c r="W562" i="25"/>
  <c r="W560" i="25"/>
  <c r="W558" i="25"/>
  <c r="X556" i="25"/>
  <c r="W556" i="25"/>
  <c r="U577" i="25"/>
  <c r="U575" i="25"/>
  <c r="S568" i="25"/>
  <c r="U573" i="25"/>
  <c r="U571" i="25"/>
  <c r="U569" i="25"/>
  <c r="U576" i="25"/>
  <c r="U574" i="25"/>
  <c r="U572" i="25"/>
  <c r="U570" i="25"/>
  <c r="T580" i="25"/>
  <c r="U568" i="25"/>
  <c r="W565" i="25" l="1"/>
  <c r="U585" i="25"/>
  <c r="U583" i="25"/>
  <c r="U581" i="25"/>
  <c r="U588" i="25"/>
  <c r="U586" i="25"/>
  <c r="U584" i="25"/>
  <c r="U582" i="25"/>
  <c r="T592" i="25"/>
  <c r="U580" i="25"/>
  <c r="U589" i="25"/>
  <c r="U587" i="25"/>
  <c r="S580" i="25"/>
  <c r="W573" i="25"/>
  <c r="W571" i="25"/>
  <c r="W569" i="25"/>
  <c r="X576" i="25"/>
  <c r="X574" i="25"/>
  <c r="W576" i="25"/>
  <c r="W574" i="25"/>
  <c r="W572" i="25"/>
  <c r="W570" i="25"/>
  <c r="X568" i="25"/>
  <c r="W568" i="25"/>
  <c r="X565" i="25"/>
  <c r="W577" i="25" l="1"/>
  <c r="X577" i="25"/>
  <c r="U600" i="25"/>
  <c r="U598" i="25"/>
  <c r="U596" i="25"/>
  <c r="U594" i="25"/>
  <c r="T604" i="25"/>
  <c r="U592" i="25"/>
  <c r="U601" i="25"/>
  <c r="U599" i="25"/>
  <c r="S592" i="25"/>
  <c r="U595" i="25"/>
  <c r="U597" i="25"/>
  <c r="U593" i="25"/>
  <c r="X588" i="25"/>
  <c r="X586" i="25"/>
  <c r="W588" i="25"/>
  <c r="W586" i="25"/>
  <c r="W584" i="25"/>
  <c r="W582" i="25"/>
  <c r="X580" i="25"/>
  <c r="W580" i="25"/>
  <c r="W585" i="25"/>
  <c r="W581" i="25"/>
  <c r="W583" i="25"/>
  <c r="X589" i="25" l="1"/>
  <c r="U612" i="25"/>
  <c r="U610" i="25"/>
  <c r="U608" i="25"/>
  <c r="U606" i="25"/>
  <c r="T616" i="25"/>
  <c r="U604" i="25"/>
  <c r="U613" i="25"/>
  <c r="U611" i="25"/>
  <c r="S604" i="25"/>
  <c r="U609" i="25"/>
  <c r="U607" i="25"/>
  <c r="U605" i="25"/>
  <c r="W589" i="25"/>
  <c r="X600" i="25"/>
  <c r="X598" i="25"/>
  <c r="W600" i="25"/>
  <c r="W598" i="25"/>
  <c r="W596" i="25"/>
  <c r="W594" i="25"/>
  <c r="X592" i="25"/>
  <c r="W592" i="25"/>
  <c r="W597" i="25"/>
  <c r="W595" i="25"/>
  <c r="W593" i="25"/>
  <c r="X601" i="25" l="1"/>
  <c r="W601" i="25"/>
  <c r="U624" i="25"/>
  <c r="U622" i="25"/>
  <c r="U620" i="25"/>
  <c r="U618" i="25"/>
  <c r="T628" i="25"/>
  <c r="U616" i="25"/>
  <c r="U625" i="25"/>
  <c r="U623" i="25"/>
  <c r="S616" i="25"/>
  <c r="U621" i="25"/>
  <c r="U619" i="25"/>
  <c r="U617" i="25"/>
  <c r="X612" i="25"/>
  <c r="X610" i="25"/>
  <c r="W612" i="25"/>
  <c r="W610" i="25"/>
  <c r="W608" i="25"/>
  <c r="W606" i="25"/>
  <c r="X604" i="25"/>
  <c r="W604" i="25"/>
  <c r="W609" i="25"/>
  <c r="W607" i="25"/>
  <c r="W605" i="25"/>
  <c r="X613" i="25" l="1"/>
  <c r="U631" i="25"/>
  <c r="U628" i="25"/>
  <c r="U634" i="25"/>
  <c r="U630" i="25"/>
  <c r="U637" i="25"/>
  <c r="S628" i="25"/>
  <c r="U633" i="25"/>
  <c r="U629" i="25"/>
  <c r="U636" i="25"/>
  <c r="U632" i="25"/>
  <c r="U635" i="25"/>
  <c r="T640" i="25"/>
  <c r="W613" i="25"/>
  <c r="W624" i="25"/>
  <c r="W622" i="25"/>
  <c r="W620" i="25"/>
  <c r="W618" i="25"/>
  <c r="X616" i="25"/>
  <c r="W616" i="25"/>
  <c r="W621" i="25"/>
  <c r="W619" i="25"/>
  <c r="W617" i="25"/>
  <c r="X622" i="25"/>
  <c r="X624" i="25"/>
  <c r="X634" i="25" l="1"/>
  <c r="W628" i="25"/>
  <c r="W634" i="25"/>
  <c r="W630" i="25"/>
  <c r="W633" i="25"/>
  <c r="W629" i="25"/>
  <c r="X636" i="25"/>
  <c r="W636" i="25"/>
  <c r="W632" i="25"/>
  <c r="W631" i="25"/>
  <c r="X628" i="25"/>
  <c r="W625" i="25"/>
  <c r="S640" i="25"/>
  <c r="U646" i="25"/>
  <c r="U642" i="25"/>
  <c r="U649" i="25"/>
  <c r="U645" i="25"/>
  <c r="U641" i="25"/>
  <c r="U648" i="25"/>
  <c r="U644" i="25"/>
  <c r="T652" i="25"/>
  <c r="U647" i="25"/>
  <c r="U640" i="25"/>
  <c r="U643" i="25"/>
  <c r="X625" i="25"/>
  <c r="X637" i="25" l="1"/>
  <c r="W637" i="25"/>
  <c r="U658" i="25"/>
  <c r="U654" i="25"/>
  <c r="U661" i="25"/>
  <c r="U657" i="25"/>
  <c r="U653" i="25"/>
  <c r="U660" i="25"/>
  <c r="U656" i="25"/>
  <c r="T664" i="25"/>
  <c r="U659" i="25"/>
  <c r="U652" i="25"/>
  <c r="U655" i="25"/>
  <c r="S652" i="25"/>
  <c r="W646" i="25"/>
  <c r="W642" i="25"/>
  <c r="W645" i="25"/>
  <c r="W641" i="25"/>
  <c r="X648" i="25"/>
  <c r="W648" i="25"/>
  <c r="W644" i="25"/>
  <c r="X640" i="25"/>
  <c r="W640" i="25"/>
  <c r="W643" i="25"/>
  <c r="X646" i="25"/>
  <c r="W649" i="25" l="1"/>
  <c r="W657" i="25"/>
  <c r="W653" i="25"/>
  <c r="X660" i="25"/>
  <c r="W660" i="25"/>
  <c r="W656" i="25"/>
  <c r="X652" i="25"/>
  <c r="W652" i="25"/>
  <c r="W655" i="25"/>
  <c r="X658" i="25"/>
  <c r="W658" i="25"/>
  <c r="W654" i="25"/>
  <c r="U673" i="25"/>
  <c r="U669" i="25"/>
  <c r="U665" i="25"/>
  <c r="U672" i="25"/>
  <c r="U668" i="25"/>
  <c r="T676" i="25"/>
  <c r="S676" i="25" s="1"/>
  <c r="U671" i="25"/>
  <c r="U664" i="25"/>
  <c r="U667" i="25"/>
  <c r="S664" i="25"/>
  <c r="U666" i="25"/>
  <c r="U670" i="25"/>
  <c r="X649" i="25"/>
  <c r="W661" i="25" l="1"/>
  <c r="X661" i="25"/>
  <c r="W669" i="25"/>
  <c r="W665" i="25"/>
  <c r="X672" i="25"/>
  <c r="W672" i="25"/>
  <c r="W668" i="25"/>
  <c r="X664" i="25"/>
  <c r="W664" i="25"/>
  <c r="W667" i="25"/>
  <c r="X670" i="25"/>
  <c r="W670" i="25"/>
  <c r="W666" i="25"/>
  <c r="U681" i="25"/>
  <c r="U677" i="25"/>
  <c r="U684" i="25"/>
  <c r="U680" i="25"/>
  <c r="T688" i="25"/>
  <c r="U683" i="25"/>
  <c r="U676" i="25"/>
  <c r="U679" i="25"/>
  <c r="U682" i="25"/>
  <c r="U678" i="25"/>
  <c r="U685" i="25"/>
  <c r="X673" i="25" l="1"/>
  <c r="W673" i="25"/>
  <c r="U696" i="25"/>
  <c r="U692" i="25"/>
  <c r="T700" i="25"/>
  <c r="U695" i="25"/>
  <c r="U688" i="25"/>
  <c r="U691" i="25"/>
  <c r="S688" i="25"/>
  <c r="U694" i="25"/>
  <c r="U690" i="25"/>
  <c r="U697" i="25"/>
  <c r="U693" i="25"/>
  <c r="U689" i="25"/>
  <c r="X684" i="25"/>
  <c r="W684" i="25"/>
  <c r="W680" i="25"/>
  <c r="X676" i="25"/>
  <c r="W676" i="25"/>
  <c r="W679" i="25"/>
  <c r="X682" i="25"/>
  <c r="W682" i="25"/>
  <c r="W678" i="25"/>
  <c r="W681" i="25"/>
  <c r="W677" i="25"/>
  <c r="U708" i="25" l="1"/>
  <c r="U704" i="25"/>
  <c r="T712" i="25"/>
  <c r="T724" i="25" s="1"/>
  <c r="U707" i="25"/>
  <c r="U700" i="25"/>
  <c r="U703" i="25"/>
  <c r="S700" i="25"/>
  <c r="U706" i="25"/>
  <c r="U702" i="25"/>
  <c r="U709" i="25"/>
  <c r="U705" i="25"/>
  <c r="U701" i="25"/>
  <c r="W685" i="25"/>
  <c r="W696" i="25"/>
  <c r="W692" i="25"/>
  <c r="X688" i="25"/>
  <c r="W688" i="25"/>
  <c r="W691" i="25"/>
  <c r="X694" i="25"/>
  <c r="W694" i="25"/>
  <c r="W690" i="25"/>
  <c r="W693" i="25"/>
  <c r="W689" i="25"/>
  <c r="X696" i="25"/>
  <c r="X685" i="25"/>
  <c r="W700" i="25" l="1"/>
  <c r="W703" i="25"/>
  <c r="X706" i="25"/>
  <c r="W706" i="25"/>
  <c r="W702" i="25"/>
  <c r="W705" i="25"/>
  <c r="W701" i="25"/>
  <c r="X708" i="25"/>
  <c r="W708" i="25"/>
  <c r="W704" i="25"/>
  <c r="X700" i="25"/>
  <c r="U719" i="25"/>
  <c r="U712" i="25"/>
  <c r="U715" i="25"/>
  <c r="S712" i="25"/>
  <c r="U718" i="25"/>
  <c r="U714" i="25"/>
  <c r="U721" i="25"/>
  <c r="U717" i="25"/>
  <c r="U713" i="25"/>
  <c r="U720" i="25"/>
  <c r="U716" i="25"/>
  <c r="X697" i="25"/>
  <c r="W697" i="25"/>
  <c r="U727" i="25" l="1"/>
  <c r="S724" i="25"/>
  <c r="U730" i="25"/>
  <c r="U726" i="25"/>
  <c r="U733" i="25"/>
  <c r="U729" i="25"/>
  <c r="U725" i="25"/>
  <c r="U732" i="25"/>
  <c r="U728" i="25"/>
  <c r="U724" i="25"/>
  <c r="U731" i="25"/>
  <c r="W715" i="25"/>
  <c r="X718" i="25"/>
  <c r="W718" i="25"/>
  <c r="W714" i="25"/>
  <c r="W717" i="25"/>
  <c r="W713" i="25"/>
  <c r="X720" i="25"/>
  <c r="W720" i="25"/>
  <c r="W716" i="25"/>
  <c r="X712" i="25"/>
  <c r="W712" i="25"/>
  <c r="X709" i="25"/>
  <c r="W709" i="25"/>
  <c r="X721" i="25" l="1"/>
  <c r="W721" i="25"/>
  <c r="X730" i="25"/>
  <c r="W730" i="25"/>
  <c r="W726" i="25"/>
  <c r="W729" i="25"/>
  <c r="W725" i="25"/>
  <c r="X732" i="25"/>
  <c r="W732" i="25"/>
  <c r="W728" i="25"/>
  <c r="X724" i="25"/>
  <c r="W724" i="25"/>
  <c r="W727" i="25"/>
  <c r="W733" i="25" l="1"/>
  <c r="X733" i="25"/>
  <c r="N70" i="24"/>
  <c r="E8" i="24" l="1"/>
  <c r="E32" i="24"/>
  <c r="E56" i="24"/>
  <c r="E20" i="24"/>
  <c r="E44" i="24"/>
  <c r="F63" i="24" l="1"/>
  <c r="F59" i="24"/>
  <c r="F65" i="24"/>
  <c r="F64" i="24"/>
  <c r="F60" i="24"/>
  <c r="F58" i="24"/>
  <c r="F62" i="24"/>
  <c r="F56" i="24"/>
  <c r="F61" i="24"/>
  <c r="F57" i="24"/>
  <c r="F39" i="24"/>
  <c r="F38" i="24"/>
  <c r="F32" i="24"/>
  <c r="F36" i="24"/>
  <c r="F33" i="24"/>
  <c r="F34" i="24"/>
  <c r="F40" i="24"/>
  <c r="F37" i="24"/>
  <c r="F35" i="24"/>
  <c r="F41" i="24"/>
  <c r="F51" i="24"/>
  <c r="F48" i="24"/>
  <c r="F45" i="24"/>
  <c r="F50" i="24"/>
  <c r="F53" i="24"/>
  <c r="F46" i="24"/>
  <c r="F44" i="24"/>
  <c r="F52" i="24"/>
  <c r="F47" i="24"/>
  <c r="F49" i="24"/>
  <c r="F15" i="24"/>
  <c r="F11" i="24"/>
  <c r="F10" i="24"/>
  <c r="F17" i="24"/>
  <c r="F13" i="24"/>
  <c r="F16" i="24"/>
  <c r="F14" i="24"/>
  <c r="F9" i="24"/>
  <c r="F8" i="24"/>
  <c r="F12" i="24"/>
  <c r="F26" i="24"/>
  <c r="F25" i="24"/>
  <c r="F28" i="24"/>
  <c r="F23" i="24"/>
  <c r="F20" i="24"/>
  <c r="F24" i="24"/>
  <c r="F22" i="24"/>
  <c r="F21" i="24"/>
  <c r="F27" i="24"/>
  <c r="F29" i="24"/>
  <c r="H28" i="24" l="1"/>
  <c r="N28" i="24" s="1"/>
  <c r="I28" i="24"/>
  <c r="O28" i="24" s="1"/>
  <c r="I25" i="24"/>
  <c r="O25" i="24" s="1"/>
  <c r="H25" i="24"/>
  <c r="N25" i="24" s="1"/>
  <c r="I48" i="24"/>
  <c r="O48" i="24" s="1"/>
  <c r="H48" i="24"/>
  <c r="N48" i="24" s="1"/>
  <c r="I57" i="24"/>
  <c r="H57" i="24"/>
  <c r="I27" i="24"/>
  <c r="O27" i="24" s="1"/>
  <c r="H27" i="24"/>
  <c r="N27" i="24" s="1"/>
  <c r="H21" i="24"/>
  <c r="I21" i="24"/>
  <c r="H23" i="24"/>
  <c r="I23" i="24"/>
  <c r="H12" i="24"/>
  <c r="N12" i="24" s="1"/>
  <c r="I12" i="24"/>
  <c r="O12" i="24" s="1"/>
  <c r="I16" i="24"/>
  <c r="O16" i="24" s="1"/>
  <c r="H16" i="24"/>
  <c r="N16" i="24" s="1"/>
  <c r="I11" i="24"/>
  <c r="H11" i="24"/>
  <c r="I52" i="24"/>
  <c r="O52" i="24" s="1"/>
  <c r="H52" i="24"/>
  <c r="N52" i="24" s="1"/>
  <c r="I50" i="24"/>
  <c r="O50" i="24" s="1"/>
  <c r="H50" i="24"/>
  <c r="N50" i="24" s="1"/>
  <c r="I34" i="24"/>
  <c r="H34" i="24"/>
  <c r="H38" i="24"/>
  <c r="N38" i="24" s="1"/>
  <c r="I38" i="24"/>
  <c r="O38" i="24" s="1"/>
  <c r="H56" i="24"/>
  <c r="I56" i="24"/>
  <c r="I64" i="24"/>
  <c r="O64" i="24" s="1"/>
  <c r="H64" i="24"/>
  <c r="N64" i="24" s="1"/>
  <c r="I22" i="24"/>
  <c r="H22" i="24"/>
  <c r="I13" i="24"/>
  <c r="O13" i="24" s="1"/>
  <c r="H13" i="24"/>
  <c r="N13" i="24" s="1"/>
  <c r="H15" i="24"/>
  <c r="N15" i="24" s="1"/>
  <c r="I15" i="24"/>
  <c r="O15" i="24" s="1"/>
  <c r="H44" i="24"/>
  <c r="I44" i="24"/>
  <c r="H45" i="24"/>
  <c r="I45" i="24"/>
  <c r="I35" i="24"/>
  <c r="H35" i="24"/>
  <c r="H33" i="24"/>
  <c r="I33" i="24"/>
  <c r="H39" i="24"/>
  <c r="N39" i="24" s="1"/>
  <c r="I39" i="24"/>
  <c r="O39" i="24" s="1"/>
  <c r="I62" i="24"/>
  <c r="O62" i="24" s="1"/>
  <c r="H62" i="24"/>
  <c r="N62" i="24" s="1"/>
  <c r="I9" i="24"/>
  <c r="H9" i="24"/>
  <c r="H46" i="24"/>
  <c r="I46" i="24"/>
  <c r="I36" i="24"/>
  <c r="O36" i="24" s="1"/>
  <c r="H36" i="24"/>
  <c r="N36" i="24" s="1"/>
  <c r="H59" i="24"/>
  <c r="I59" i="24"/>
  <c r="H8" i="24"/>
  <c r="I8" i="24"/>
  <c r="I24" i="24"/>
  <c r="O24" i="24" s="1"/>
  <c r="H24" i="24"/>
  <c r="N24" i="24" s="1"/>
  <c r="I49" i="24"/>
  <c r="O49" i="24" s="1"/>
  <c r="H49" i="24"/>
  <c r="N49" i="24" s="1"/>
  <c r="I37" i="24"/>
  <c r="O37" i="24" s="1"/>
  <c r="H37" i="24"/>
  <c r="N37" i="24" s="1"/>
  <c r="I58" i="24"/>
  <c r="H58" i="24"/>
  <c r="H20" i="24"/>
  <c r="I20" i="24"/>
  <c r="H26" i="24"/>
  <c r="N26" i="24" s="1"/>
  <c r="I26" i="24"/>
  <c r="O26" i="24" s="1"/>
  <c r="H14" i="24"/>
  <c r="N14" i="24" s="1"/>
  <c r="I14" i="24"/>
  <c r="O14" i="24" s="1"/>
  <c r="H10" i="24"/>
  <c r="N10" i="24" s="1"/>
  <c r="N11" i="24" s="1"/>
  <c r="I10" i="24"/>
  <c r="I47" i="24"/>
  <c r="H47" i="24"/>
  <c r="H51" i="24"/>
  <c r="N51" i="24" s="1"/>
  <c r="I51" i="24"/>
  <c r="O51" i="24" s="1"/>
  <c r="H40" i="24"/>
  <c r="N40" i="24" s="1"/>
  <c r="I40" i="24"/>
  <c r="O40" i="24" s="1"/>
  <c r="H32" i="24"/>
  <c r="I32" i="24"/>
  <c r="H61" i="24"/>
  <c r="N61" i="24" s="1"/>
  <c r="I61" i="24"/>
  <c r="O61" i="24" s="1"/>
  <c r="H60" i="24"/>
  <c r="N60" i="24" s="1"/>
  <c r="I60" i="24"/>
  <c r="O60" i="24" s="1"/>
  <c r="I63" i="24"/>
  <c r="O63" i="24" s="1"/>
  <c r="H63" i="24"/>
  <c r="N63" i="24" s="1"/>
  <c r="N58" i="24" l="1"/>
  <c r="N59" i="24"/>
  <c r="I17" i="24"/>
  <c r="I70" i="24" s="1"/>
  <c r="O8" i="24"/>
  <c r="O9" i="24" s="1"/>
  <c r="O17" i="24" s="1"/>
  <c r="O70" i="24" s="1"/>
  <c r="O44" i="24"/>
  <c r="I53" i="24"/>
  <c r="I73" i="24" s="1"/>
  <c r="O32" i="24"/>
  <c r="O41" i="24" s="1"/>
  <c r="O72" i="24" s="1"/>
  <c r="O33" i="24"/>
  <c r="I41" i="24"/>
  <c r="I72" i="24" s="1"/>
  <c r="N44" i="24"/>
  <c r="N53" i="24" s="1"/>
  <c r="N73" i="24" s="1"/>
  <c r="H53" i="24"/>
  <c r="H73" i="24" s="1"/>
  <c r="N45" i="24"/>
  <c r="O11" i="24"/>
  <c r="O10" i="24"/>
  <c r="N32" i="24"/>
  <c r="N41" i="24" s="1"/>
  <c r="N72" i="24" s="1"/>
  <c r="N33" i="24"/>
  <c r="H41" i="24"/>
  <c r="H72" i="24" s="1"/>
  <c r="O20" i="24"/>
  <c r="O29" i="24" s="1"/>
  <c r="O71" i="24" s="1"/>
  <c r="I29" i="24"/>
  <c r="I71" i="24" s="1"/>
  <c r="O21" i="24"/>
  <c r="O47" i="24"/>
  <c r="O46" i="24"/>
  <c r="N22" i="24"/>
  <c r="N23" i="24"/>
  <c r="O56" i="24"/>
  <c r="I65" i="24"/>
  <c r="I74" i="24" s="1"/>
  <c r="N34" i="24"/>
  <c r="N35" i="24"/>
  <c r="O59" i="24"/>
  <c r="O58" i="24"/>
  <c r="N8" i="24"/>
  <c r="N17" i="24" s="1"/>
  <c r="H17" i="24"/>
  <c r="H70" i="24" s="1"/>
  <c r="N9" i="24"/>
  <c r="H29" i="24"/>
  <c r="H71" i="24" s="1"/>
  <c r="N20" i="24"/>
  <c r="N21" i="24"/>
  <c r="N46" i="24"/>
  <c r="N47" i="24"/>
  <c r="O23" i="24"/>
  <c r="O22" i="24"/>
  <c r="H65" i="24"/>
  <c r="H74" i="24" s="1"/>
  <c r="N56" i="24"/>
  <c r="O35" i="24"/>
  <c r="O34" i="24"/>
  <c r="H76" i="24" l="1"/>
  <c r="H81" i="24" s="1"/>
  <c r="H83" i="24" s="1"/>
  <c r="N29" i="24"/>
  <c r="N71" i="24" s="1"/>
  <c r="I76" i="24"/>
  <c r="H82" i="24" s="1"/>
  <c r="I82" i="24" s="1"/>
  <c r="N57" i="24"/>
  <c r="N65" i="24"/>
  <c r="N74" i="24" s="1"/>
  <c r="O57" i="24"/>
  <c r="O65" i="24"/>
  <c r="O74" i="24" s="1"/>
  <c r="O45" i="24"/>
  <c r="O53" i="24"/>
  <c r="O73" i="24" s="1"/>
  <c r="I81" i="24" l="1"/>
  <c r="I83" i="24" s="1"/>
  <c r="O76" i="24"/>
  <c r="N82" i="24" s="1"/>
  <c r="O82" i="24" s="1"/>
  <c r="N76" i="24"/>
  <c r="N81" i="24" s="1"/>
  <c r="O81" i="24" l="1"/>
  <c r="O83" i="24" s="1"/>
  <c r="R99" i="24" s="1"/>
  <c r="N83" i="24"/>
  <c r="T99" i="24" l="1"/>
  <c r="S99" i="24"/>
  <c r="C28" i="6" s="1"/>
</calcChain>
</file>

<file path=xl/sharedStrings.xml><?xml version="1.0" encoding="utf-8"?>
<sst xmlns="http://schemas.openxmlformats.org/spreadsheetml/2006/main" count="1640" uniqueCount="582">
  <si>
    <t xml:space="preserve">BREEAM In-Use International V6
Building Management (Part 2): Energy Allocation Calculator </t>
  </si>
  <si>
    <t>Why has this been developed?</t>
  </si>
  <si>
    <t xml:space="preserve">Currently within the BREEAM In-Use International Version 6 (BIU v6) Part 2 Energy Calculator an asset is not able to use apportioned, calculated, or estimated energy consumption data. This was to ensure that consistent data was used when assessing against the BREEAM In-Use International Version 6 scheme. By insisting that all data entered relate directly to the asset that is being assessed, it means that the performance of assets can be compared robustly against each other.
We are aware that this created a significant challenge for assets where it was not feasible to sub-meter all fuels and energy sources. As a consequence the operational energy performance of many assets could not be assessed or rewarded in BIU v6.  There was therefore a need to provide an alternative methodology which provides flexibility for users, while retaining consistency to facilitate robust comparisons. This Energy Allocation methodology provides a solution for that challenge.
The BIU v6 Energy Allocation Calculator is intended to be used as part of a BIU v6 assessment only; It cannot be used to provide accurate energy consumption breakdown in multi-function/system contexts.  BRE Global cannot accept any liabilities for variations in the performance of buildings or other assets from the results obtained through the use of this Energy Allocation Calculator, and therefore it should not be used as the basis for making decisions on enhancement and investment actions. </t>
  </si>
  <si>
    <t>Which assessments should use this methodology?</t>
  </si>
  <si>
    <r>
      <t xml:space="preserve">This methodology is designed for assessments which are not able to provide comprehensive metered data that directly relate to the asset floor area.
If this method is used, all metered energy sources that provide any energy to the assessed area must be recorded within the Energy Allocation Calculator.
</t>
    </r>
    <r>
      <rPr>
        <b/>
        <sz val="12"/>
        <color theme="1"/>
        <rFont val="Arial"/>
        <family val="2"/>
      </rPr>
      <t xml:space="preserve">Assessors must read this guidance before proceeding to assess assets using this methodology to establish whether the asset is eligible. </t>
    </r>
  </si>
  <si>
    <t>Are the same number of credits available?</t>
  </si>
  <si>
    <t>This method enables Assessors to enter energy consumption data which cover larger areas that encompass the assessed area, in addition to data that relates only to the assessed area. It allocates energy consumption to the asset based on floor area, which is then compared to the relevant operational benchmark. However, to reflect the uncertainty associated with the Allocation process the scoring is adjusted accordingly to how closely the metering/sub-metering strategy corresponds to the floor area of the asset. 
For example, where energy consumption is sub-metered over a floor area which is 20% larger than that of the assessed asset, all the resulting carbon emissions are assigned to asset. This will result in fewer credits being awarded compared to if the asset was fully sub-metered. This approach encourages users to improve their metering strategies as only assets where all energy consumptions are separately metered over the correct floor areas will be eligible for the maximum number of credits. Refer to the ‘Results tab’ below for further information.</t>
  </si>
  <si>
    <t>Full Guidance</t>
  </si>
  <si>
    <t>Asset Information tab</t>
  </si>
  <si>
    <t xml:space="preserve">The Assessor must complete a series of questions regarding the asset being assessed. Some of these replicate those on the online platform (including Asset Type and respective floor areas), while others require more detailed inputs. </t>
  </si>
  <si>
    <t>Consumption Data tab</t>
  </si>
  <si>
    <t>Unlike the BIU v6 Part 2 Energy Calculator found in the Online Platform, the Energy Allocation method requires data to be entered for each meter and fuel type, rather than by fuel type alone. 
Each row within the table represents a different meter within the asset. Information is provided below regarding each data entry point required for each meter, with guidance explaining how to complete this.</t>
  </si>
  <si>
    <r>
      <rPr>
        <b/>
        <u/>
        <sz val="12"/>
        <color theme="1"/>
        <rFont val="Arial"/>
        <family val="2"/>
      </rPr>
      <t>Meter ID:</t>
    </r>
    <r>
      <rPr>
        <sz val="12"/>
        <color theme="1"/>
        <rFont val="Arial"/>
        <family val="2"/>
      </rPr>
      <t xml:space="preserve"> This is a unique number allocated to each meter for the BIU assessment, which is allocated automatically and is fixed. These numbers are only used to help support the Quality Assurance (QA) process. For example, if further information is needed for one of the meters during an Audit, this number allows the QA Team to quickly and clearly outline to the Assessor where the clarification is required. </t>
    </r>
  </si>
  <si>
    <r>
      <rPr>
        <b/>
        <u/>
        <sz val="12"/>
        <color theme="1"/>
        <rFont val="Arial"/>
        <family val="2"/>
      </rPr>
      <t>Meter reference number (optional):</t>
    </r>
    <r>
      <rPr>
        <sz val="12"/>
        <color theme="1"/>
        <rFont val="Arial"/>
        <family val="2"/>
      </rPr>
      <t xml:space="preserve"> This is an available entry field provided to help the Assessor identify the meter when undertaking discussions with the client. For example this could be the unique meter reference number used by the energy provider.</t>
    </r>
  </si>
  <si>
    <r>
      <rPr>
        <b/>
        <u/>
        <sz val="12"/>
        <color theme="1"/>
        <rFont val="Arial"/>
        <family val="2"/>
      </rPr>
      <t>Description:</t>
    </r>
    <r>
      <rPr>
        <sz val="12"/>
        <color theme="1"/>
        <rFont val="Arial"/>
        <family val="2"/>
      </rPr>
      <t xml:space="preserve"> This free text entry is designed to help Assessors identify the building servicing systems and floor area served by the meter. For example ‘Ground floor lighting’.</t>
    </r>
  </si>
  <si>
    <r>
      <rPr>
        <b/>
        <u/>
        <sz val="12"/>
        <color theme="1"/>
        <rFont val="Arial"/>
        <family val="2"/>
      </rPr>
      <t>Fuel type:</t>
    </r>
    <r>
      <rPr>
        <sz val="12"/>
        <color theme="1"/>
        <rFont val="Arial"/>
        <family val="2"/>
      </rPr>
      <t xml:space="preserve"> The Assessor must select from the drop-down menu which fuel type the meter is monitoring. The list is taken directly from the BIU v6 Part 2 Energy Calculator list.</t>
    </r>
  </si>
  <si>
    <r>
      <rPr>
        <b/>
        <u/>
        <sz val="12"/>
        <color theme="1"/>
        <rFont val="Arial"/>
        <family val="2"/>
      </rPr>
      <t>Consumption start date:</t>
    </r>
    <r>
      <rPr>
        <sz val="12"/>
        <color theme="1"/>
        <rFont val="Arial"/>
        <family val="2"/>
      </rPr>
      <t xml:space="preserve"> This is the date in which the start meter reading was taken. This should be in DD-MMM-YY format (i.e. 01-Jan-2017). Note: the period between the start date and the end date must be between 11 and 13 months.</t>
    </r>
  </si>
  <si>
    <r>
      <rPr>
        <b/>
        <u/>
        <sz val="12"/>
        <color theme="1"/>
        <rFont val="Arial"/>
        <family val="2"/>
      </rPr>
      <t>Consumption end date:</t>
    </r>
    <r>
      <rPr>
        <sz val="12"/>
        <color theme="1"/>
        <rFont val="Arial"/>
        <family val="2"/>
      </rPr>
      <t xml:space="preserve"> This is the date in which the end meter reading was taken. This should be in DD-MMM-YY format (i.e. 01-Jan-2018). Note: the period between the start date and the end date must be between 11 and 13 months.</t>
    </r>
  </si>
  <si>
    <r>
      <rPr>
        <b/>
        <u/>
        <sz val="12"/>
        <color theme="1"/>
        <rFont val="Arial"/>
        <family val="2"/>
      </rPr>
      <t>End-uses:</t>
    </r>
    <r>
      <rPr>
        <sz val="12"/>
        <color theme="1"/>
        <rFont val="Arial"/>
        <family val="2"/>
      </rPr>
      <t xml:space="preserve"> These questions identify which end-uses the meter is monitoring. If the meter is monitoring energy consumption from the following end-uses then the Assessor should select ‘Yes’ in all columns that are relevant:
- Space heating (Main system)
- Space cooling (Main system)
- Ventilation
- Domestic hot water
- Supplementary space heating or cooling
- Other consumption (lighting, small power etc.)
Note: if the meter is only monitoring ‘Electricity (Exported)’ to the grid (e.g. a solar photovoltaic array), the Assessor should select ‘No’ for all the end-uses.</t>
    </r>
  </si>
  <si>
    <r>
      <rPr>
        <b/>
        <u/>
        <sz val="12"/>
        <color theme="1"/>
        <rFont val="Arial"/>
        <family val="2"/>
      </rPr>
      <t>Total annual consumption (kWh):</t>
    </r>
    <r>
      <rPr>
        <sz val="12"/>
        <color theme="1"/>
        <rFont val="Arial"/>
        <family val="2"/>
      </rPr>
      <t xml:space="preserve"> This is the total amount of energy (in kWh) which has been measured from that meter within the period outlined between the ‘Consumption start date’ and the ‘Consumption end date’.
Note: where the period outlined between the ‘Consumption start date’ and the ‘Consumption end date’ does not exactly equal 12 months, the Allocation tool adjusts the ‘Total annual consumption (kWh)’ to take account for this difference in period. For example, where the period covers 350 days rather than 365 days, the tool will simply divide the figure entered by the number of days it is covered by, and multiply this by 365. This ensures that all meters for all projects have comparable data.</t>
    </r>
  </si>
  <si>
    <r>
      <rPr>
        <b/>
        <u/>
        <sz val="12"/>
        <color theme="1"/>
        <rFont val="Arial"/>
        <family val="2"/>
      </rPr>
      <t>Total area metered:</t>
    </r>
    <r>
      <rPr>
        <sz val="12"/>
        <color theme="1"/>
        <rFont val="Arial"/>
        <family val="2"/>
      </rPr>
      <t xml:space="preserve"> This is asking for the total floor area that is covered by the specific meter (m²). 
Example:
A retail building has three different tenants as well as a common area. The asset owner wants to certify the common area only, but the meter which measures the energy consumption for lighting relates to the whole building (common area and tenant spaces). Here the Assessor should enter the total floor area that is covered by this meter, which is both the common area and tenant spaces (3,500m²).</t>
    </r>
  </si>
  <si>
    <r>
      <rPr>
        <b/>
        <u/>
        <sz val="12"/>
        <color theme="1"/>
        <rFont val="Arial"/>
        <family val="2"/>
      </rPr>
      <t>Assessed area metered:</t>
    </r>
    <r>
      <rPr>
        <sz val="12"/>
        <color theme="1"/>
        <rFont val="Arial"/>
        <family val="2"/>
      </rPr>
      <t xml:space="preserve"> This question is looking to determine the total amount of assessed area that is covered by this meter (m²). 
Example:
Using the scenario above, the Assessor should enter the floor area for the common area only (500m²).</t>
    </r>
  </si>
  <si>
    <r>
      <rPr>
        <b/>
        <u/>
        <sz val="12"/>
        <color theme="1"/>
        <rFont val="Arial"/>
        <family val="2"/>
      </rPr>
      <t>Serviced floor area:</t>
    </r>
    <r>
      <rPr>
        <sz val="12"/>
        <color theme="1"/>
        <rFont val="Arial"/>
        <family val="2"/>
      </rPr>
      <t xml:space="preserve"> Where ‘Yes’ has been selected for more than one end-use within the ‘End-use’ questions (i.e. a single meter monitoring two or more end-uses, such as cooling and heating) the Assessor must confirm whether the end-uses are servicing the same floor area. This is to ensure that we can robustly apportion the consumption data.
Example 1:
Using the same scenario above, consider a situation where there is one meter covering cooling and heating for the whole building. The heating being metered serves Tenant 1 &amp; Tenant 2 only, while the cooling serves the whole building. In this situation there is no way for us to apportion this data based on floor area. This is because there is 2,000m² of the building is being heated, while 3,500m² of the building is being cooled. There is no way for us to allocate the energy consumption related to heating or cooling for these spaces. In this situation the Assessor would need to answer ‘No’ to this question.
Note: Answering ‘No’ to this question for any meter means that this asset </t>
    </r>
    <r>
      <rPr>
        <b/>
        <u/>
        <sz val="12"/>
        <color rgb="FFC00000"/>
        <rFont val="Arial"/>
        <family val="2"/>
      </rPr>
      <t>cannot</t>
    </r>
    <r>
      <rPr>
        <sz val="12"/>
        <color theme="1"/>
        <rFont val="Arial"/>
        <family val="2"/>
      </rPr>
      <t xml:space="preserve"> be assessed using the Energy Allocation method.
</t>
    </r>
  </si>
  <si>
    <t xml:space="preserve">Example 2:
Using the same building, if the meter covered heating and cooling systems which serviced the same areas, then the Assessor can select ‘Yes’ for this question. This would allow them to continue with the Energy Allocation method.
</t>
  </si>
  <si>
    <r>
      <rPr>
        <b/>
        <u/>
        <sz val="12"/>
        <color theme="1"/>
        <rFont val="Arial"/>
        <family val="2"/>
      </rPr>
      <t>Allocated consumption (kWh):</t>
    </r>
    <r>
      <rPr>
        <sz val="12"/>
        <color theme="1"/>
        <rFont val="Arial"/>
        <family val="2"/>
      </rPr>
      <t xml:space="preserve"> This figure is calculated in the tool automatically. It uses the ‘Total annual consumption (kWh)’ (after it has been adjusted to a 12 month period), and determines the proportion of this consumption which is related to the assessed floor area. 
This is undertaken with the following calculation:
</t>
    </r>
    <r>
      <rPr>
        <i/>
        <sz val="12"/>
        <color theme="1"/>
        <rFont val="Arial"/>
        <family val="2"/>
      </rPr>
      <t>‘Allocated consumption (kWh)’ = ‘Total annual consumption (kWh)’ x [‘Assessed area metered’ / ‘Total area metered’]</t>
    </r>
  </si>
  <si>
    <r>
      <rPr>
        <b/>
        <u/>
        <sz val="12"/>
        <color theme="1"/>
        <rFont val="Arial"/>
        <family val="2"/>
      </rPr>
      <t>Feedback:</t>
    </r>
    <r>
      <rPr>
        <sz val="12"/>
        <color theme="1"/>
        <rFont val="Arial"/>
        <family val="2"/>
      </rPr>
      <t xml:space="preserve"> This is to provide guidance to Assessors when completing the tool. This will help to inform Assessors if certain cells within the Excel spreadsheet have failed to be completed or have been completed incorrectly.</t>
    </r>
  </si>
  <si>
    <r>
      <t>Assessor Verification Comments:</t>
    </r>
    <r>
      <rPr>
        <sz val="12"/>
        <color theme="1"/>
        <rFont val="Arial"/>
        <family val="2"/>
      </rPr>
      <t xml:space="preserve"> As the Assessor is undertaking their audit on a meter-level approach, rather than by individual fuel types, the Assessor will not need to complete detailed Assessor comments within the BREEAM In-Use International Version 6 Online Platform. Instead the Online Platform should contain Assessor comments outlining that the Energy Allocation method has been used, and that all Assessor comments are contained within the associated Energy Allocation Excel tool.
Therefore, this space in the Excel tool enables the Assessor to provide verification comments, however the comments are now on a meter-level rather than by fuel type. This is the same for supporting evidence also. Please see the following Knowledge Base entries to help support Assessors with this:</t>
    </r>
  </si>
  <si>
    <t>KBCN0962 (click here)</t>
  </si>
  <si>
    <t>KBCN1019 (click here)</t>
  </si>
  <si>
    <t>Results tab</t>
  </si>
  <si>
    <t>This table demonstrates two outputs. Both need to be entered into the BIU v6 online platform in order to determine the number of credits achieved.</t>
  </si>
  <si>
    <r>
      <rPr>
        <b/>
        <u/>
        <sz val="12"/>
        <color theme="1"/>
        <rFont val="Arial"/>
        <family val="2"/>
      </rPr>
      <t>Allocated energy use (kWh):</t>
    </r>
    <r>
      <rPr>
        <sz val="12"/>
        <color theme="1"/>
        <rFont val="Arial"/>
        <family val="2"/>
      </rPr>
      <t xml:space="preserve"> This is the energy for each particular fuel type which has been ‘Allocated’ to the assessed area using the methodology explained above. Once the tool has been completed, these results should be directly entered into the respective question within the BIU v6 Online Platform. For example, ‘ENE 19  - Electricity’ should be entered into 'ENE 19 - Electricity' in the Online Platform. </t>
    </r>
  </si>
  <si>
    <r>
      <rPr>
        <b/>
        <u/>
        <sz val="12"/>
        <color theme="1"/>
        <rFont val="Arial"/>
        <family val="2"/>
      </rPr>
      <t>Percentage of credits available:</t>
    </r>
    <r>
      <rPr>
        <sz val="12"/>
        <color theme="1"/>
        <rFont val="Arial"/>
        <family val="2"/>
      </rPr>
      <t xml:space="preserve"> This is the percentage of credits available using this methodology. 
The tool determines this by considering the relationship between the ‘Allocated energy use (kWh)’, as well as the ‘Maximum energy consumption’.
The ‘Maximum energy consumption’ is the total amount of energy metered prior to the Allocation method. This is assuming the worst-case scenario, which assumes that all of the metered energy consumption entered into the Energy Allocation tool is consumed within the assessed area.
The tool then uses this information to determine the ‘Percentage of credits available’ as follows:
The tool first converts both the ‘Allocated energy use (kWh)’ and the ‘Maximum energy consumption’ into carbon related impact (using the BIU v6 carbon factors). Next the tool compares the total related emissions for the ‘Allocated energy use (kWh)’ and the ‘Maximum energy consumption’. The ratio of ‘Allocated energy use’ to ‘Maximum energy use’ determines the ‘Percentage of credits available’. For example, if the ‘Maximum energy use’ has a carbon impact of 1,000 kgCO</t>
    </r>
    <r>
      <rPr>
        <vertAlign val="subscript"/>
        <sz val="12"/>
        <color theme="1"/>
        <rFont val="Arial"/>
        <family val="2"/>
      </rPr>
      <t>2</t>
    </r>
    <r>
      <rPr>
        <sz val="12"/>
        <color theme="1"/>
        <rFont val="Arial"/>
        <family val="2"/>
      </rPr>
      <t>e and the ‘Allocated energy use’ has a carbon impact of 750 kgCO</t>
    </r>
    <r>
      <rPr>
        <vertAlign val="subscript"/>
        <sz val="12"/>
        <color theme="1"/>
        <rFont val="Arial"/>
        <family val="2"/>
      </rPr>
      <t>2</t>
    </r>
    <r>
      <rPr>
        <sz val="12"/>
        <color theme="1"/>
        <rFont val="Arial"/>
        <family val="2"/>
      </rPr>
      <t>e then 75% of the credits would be available within the Allocated Energy method.
The ‘Percentage of credits available’ must be entered into the BIU v6 Online Platform, along with the ‘Allocated energy use (kWh)’ for each fuel type. This will then determine the number of credits achieved.</t>
    </r>
  </si>
  <si>
    <t>Submission</t>
  </si>
  <si>
    <t>When Assessors are ready to submit, they must ensure the following is undertaken:</t>
  </si>
  <si>
    <r>
      <rPr>
        <b/>
        <sz val="12"/>
        <color theme="1"/>
        <rFont val="Arial"/>
        <family val="2"/>
      </rPr>
      <t>1.</t>
    </r>
    <r>
      <rPr>
        <sz val="12"/>
        <color theme="1"/>
        <rFont val="Arial"/>
        <family val="2"/>
      </rPr>
      <t xml:space="preserve"> The completed Energy Allocation Calculator needs to be provided as evidence.</t>
    </r>
  </si>
  <si>
    <r>
      <rPr>
        <b/>
        <sz val="12"/>
        <color theme="1"/>
        <rFont val="Arial"/>
        <family val="2"/>
      </rPr>
      <t>2.</t>
    </r>
    <r>
      <rPr>
        <sz val="12"/>
        <color theme="1"/>
        <rFont val="Arial"/>
        <family val="2"/>
      </rPr>
      <t xml:space="preserve"> The completed Energy Allocation Calculator should contain Assessor comments related to each row (i.e. each meter), see relevant Knowledge Base entry (KBCN0962).</t>
    </r>
  </si>
  <si>
    <r>
      <rPr>
        <b/>
        <sz val="12"/>
        <color theme="1"/>
        <rFont val="Arial"/>
        <family val="2"/>
      </rPr>
      <t>3.</t>
    </r>
    <r>
      <rPr>
        <sz val="12"/>
        <color theme="1"/>
        <rFont val="Arial"/>
        <family val="2"/>
      </rPr>
      <t xml:space="preserve"> The completed Energy Allocation Calculator should be supported by evidence related to each row in the tool (i.e. each meter), see relevant Knowledge Base entry (KBCN1019).</t>
    </r>
  </si>
  <si>
    <r>
      <rPr>
        <b/>
        <sz val="12"/>
        <rFont val="Arial"/>
        <family val="2"/>
      </rPr>
      <t>4.</t>
    </r>
    <r>
      <rPr>
        <sz val="12"/>
        <rFont val="Arial"/>
        <family val="2"/>
      </rPr>
      <t xml:space="preserve"> In the BIU V6 Online Platform, Assessors should select the ‘Energy Allocation Method’ within Scoping Question 1 (SQ1) of the Management Performance (Part 2) Energy Category.</t>
    </r>
  </si>
  <si>
    <r>
      <rPr>
        <b/>
        <sz val="12"/>
        <rFont val="Arial"/>
        <family val="2"/>
      </rPr>
      <t>5.</t>
    </r>
    <r>
      <rPr>
        <sz val="12"/>
        <rFont val="Arial"/>
        <family val="2"/>
      </rPr>
      <t xml:space="preserve"> In the BIU v6 Online Platform, Assessors should now enter the ‘Percentage of credits available’ (found in the 'Results' tab) into Scoping Question 1a (SQ1a) of the Management Performance (Part 2) Energy Category.</t>
    </r>
  </si>
  <si>
    <r>
      <rPr>
        <b/>
        <sz val="12"/>
        <rFont val="Arial"/>
        <family val="2"/>
      </rPr>
      <t>6.</t>
    </r>
    <r>
      <rPr>
        <sz val="12"/>
        <rFont val="Arial"/>
        <family val="2"/>
      </rPr>
      <t xml:space="preserve"> In the BIU v6 Online Platform, Assessors should enter a 12 month reporting period for each fuel type (i.e. 01/May/2019 &amp; 30/Apr/2020) into ENE 19a. This will ensure that the calculator can operate.</t>
    </r>
  </si>
  <si>
    <r>
      <rPr>
        <b/>
        <sz val="12"/>
        <rFont val="Arial"/>
        <family val="2"/>
      </rPr>
      <t xml:space="preserve">7. </t>
    </r>
    <r>
      <rPr>
        <sz val="12"/>
        <rFont val="Arial"/>
        <family val="2"/>
      </rPr>
      <t>In the BIU v6 Online Platform, Assessors should enter the ‘Allocated energy use’ for each fuel type, found in the 'Results' tab.</t>
    </r>
  </si>
  <si>
    <t>Assessor feedback</t>
  </si>
  <si>
    <t>Assessment Information</t>
  </si>
  <si>
    <t>Asset name</t>
  </si>
  <si>
    <t>Adress</t>
  </si>
  <si>
    <t>Assessed area (m²)</t>
  </si>
  <si>
    <t>Total building area (m²)</t>
  </si>
  <si>
    <t>Assessor name</t>
  </si>
  <si>
    <t>Asset Background</t>
  </si>
  <si>
    <t>In what country is the asset located?</t>
  </si>
  <si>
    <t>Netherlands</t>
  </si>
  <si>
    <t>Asset Type 1 (main asset type)</t>
  </si>
  <si>
    <t>Asset Type 1 Internal floor area (m2)</t>
  </si>
  <si>
    <t>Asset type 2</t>
  </si>
  <si>
    <t>Asset Type 2 Internal floor area (m2)</t>
  </si>
  <si>
    <t>Asset type 3</t>
  </si>
  <si>
    <t>Asset Type 3 Internal floor area (m2)</t>
  </si>
  <si>
    <t>Asset type 4</t>
  </si>
  <si>
    <t>Asset Type 4 Internal floor area (m2)</t>
  </si>
  <si>
    <t>Asset type 5</t>
  </si>
  <si>
    <t>Asset Type 5 Internal floor area (m2)</t>
  </si>
  <si>
    <t>District Systems</t>
  </si>
  <si>
    <r>
      <t>If applicable, what is the carbon intensity of the district heating system in kgCO</t>
    </r>
    <r>
      <rPr>
        <vertAlign val="subscript"/>
        <sz val="11"/>
        <color theme="1"/>
        <rFont val="Arial"/>
        <family val="2"/>
      </rPr>
      <t>2</t>
    </r>
    <r>
      <rPr>
        <sz val="11"/>
        <color theme="1"/>
        <rFont val="Arial"/>
        <family val="2"/>
      </rPr>
      <t>e/kWh?</t>
    </r>
  </si>
  <si>
    <r>
      <t>If applicable, what is the carbon intensity of the district cooling system in kgCO</t>
    </r>
    <r>
      <rPr>
        <vertAlign val="subscript"/>
        <sz val="11"/>
        <color theme="1"/>
        <rFont val="Arial"/>
        <family val="2"/>
      </rPr>
      <t>2</t>
    </r>
    <r>
      <rPr>
        <sz val="11"/>
        <color theme="1"/>
        <rFont val="Arial"/>
        <family val="2"/>
      </rPr>
      <t>e/kWh?</t>
    </r>
  </si>
  <si>
    <t>Zones must comprise contigours areas that are served by the same submeters across all fuels</t>
  </si>
  <si>
    <t>Zone</t>
  </si>
  <si>
    <t>Zone name</t>
  </si>
  <si>
    <t>Part of assessed area</t>
  </si>
  <si>
    <t>Tenant 1</t>
  </si>
  <si>
    <t>yes</t>
  </si>
  <si>
    <t>Tenant 2</t>
  </si>
  <si>
    <t>Common area</t>
  </si>
  <si>
    <t>Extra</t>
  </si>
  <si>
    <t>no</t>
  </si>
  <si>
    <t>BREEAM In-Use International V6
Building Management (Part 2): Energy Allocation Calculator</t>
  </si>
  <si>
    <t>Once data all data entered press "Calculate" and floorarea data will be automatically calculated for each meter. If any changes are made to the data press "Calculate" to update the floorarea</t>
  </si>
  <si>
    <t>Zones</t>
  </si>
  <si>
    <t>Meter ID</t>
  </si>
  <si>
    <t>Meter reference number (optional)</t>
  </si>
  <si>
    <t>Description</t>
  </si>
  <si>
    <t>Fuel type (please select)</t>
  </si>
  <si>
    <t>Consumption start date</t>
  </si>
  <si>
    <t>Consumption end date</t>
  </si>
  <si>
    <t>End uses</t>
  </si>
  <si>
    <t>Total annual consumption (kWh)</t>
  </si>
  <si>
    <t>Total area metered (m²)</t>
  </si>
  <si>
    <t>Assessed area metered (m²)</t>
  </si>
  <si>
    <t>Serviced floor area</t>
  </si>
  <si>
    <t>Allocated consumption (kWh)</t>
  </si>
  <si>
    <t>Feedback</t>
  </si>
  <si>
    <t>Assessor Verification Comment</t>
  </si>
  <si>
    <t>Zones served by meter (comma separated)</t>
  </si>
  <si>
    <t>This is used for the purposes of the BREEAM In-Use Assessment only</t>
  </si>
  <si>
    <t>The method used to identify the meter within the organisation/country</t>
  </si>
  <si>
    <t>For example:
Heating ground floor</t>
  </si>
  <si>
    <t>Please select fuel type from drop down menu.</t>
  </si>
  <si>
    <t>This is the date in which the start meter reading was taken. This should be in the following format:
DD-MMM-YY</t>
  </si>
  <si>
    <t>This is the date in which the end meter reading was taken. This should be in the following format:
DD-MMM-YY</t>
  </si>
  <si>
    <t>Does this meter record any consumption related to space heating (main system)?</t>
  </si>
  <si>
    <t>Does this meter record any consumption related to space cooling (main system)?</t>
  </si>
  <si>
    <t>Does this meter record any consumption related to ventilation?</t>
  </si>
  <si>
    <t>Does this meter record any consumption related to domestic hot water?</t>
  </si>
  <si>
    <t>Does this meter record any consumption related to supplementary space heating or cooling?</t>
  </si>
  <si>
    <t>Does this meter record any other consumption (lighting, small power etc.)?</t>
  </si>
  <si>
    <t>Total consumption for the meter in kWh for the assessment period</t>
  </si>
  <si>
    <t>Total metered consumption in kWh (adjusted to create a 12 month period)</t>
  </si>
  <si>
    <t>Total floor area that is covered by this meter (m²). This could include both assessed and non-assessed area.</t>
  </si>
  <si>
    <t>Total amount of assessed area that is covered by this meter (m²)</t>
  </si>
  <si>
    <t>Are the selected end-uses servicing exactly the same floor area within the asset?</t>
  </si>
  <si>
    <t>Total consumption related to this assessment from this meter</t>
  </si>
  <si>
    <t>This feedback is designed to help Assessors complete the tool</t>
  </si>
  <si>
    <t>This replaces the Assessor Comments function, as seen within the BREEAM In-Use Online Platform. Please review the following Knowledge Base Compliance Notes, which can support Assessors:
- KBCN0962
- KBCN1019</t>
  </si>
  <si>
    <t>1,2,6,9,32</t>
  </si>
  <si>
    <t>Example</t>
  </si>
  <si>
    <t>Meter Number 120</t>
  </si>
  <si>
    <t>Ground floor electricity</t>
  </si>
  <si>
    <t>Electricity</t>
  </si>
  <si>
    <t>No</t>
  </si>
  <si>
    <t>Yes</t>
  </si>
  <si>
    <t>✔ Complete</t>
  </si>
  <si>
    <t>The consumption figure used within this row was obtained through an export of the Building Management System (BMS). This consumption can be seen within the evidence "BMS Export Consumption Data 2017". Please see cells A6:N6 for consumption data related to this meter, this also clearly demonstrates the strart and end dates of the readings. The Facility Manager for the asset has confirmed that the consumption data for this entry is correct, and that it relates to the relevant proportion of assessed area - this can be seen in the following evidence "Facility Manager- Consumption Confirmation".</t>
  </si>
  <si>
    <t>1,2</t>
  </si>
  <si>
    <t>1,2,3</t>
  </si>
  <si>
    <t>1,3</t>
  </si>
  <si>
    <t>Results</t>
  </si>
  <si>
    <t>Allocated energy use (kWh)</t>
  </si>
  <si>
    <t>I (the Assessor) confirm that I have read KBCN0962, and have provided compliant Assessor comments within the Consumption Data tab</t>
  </si>
  <si>
    <t>I (the Assessor) confirm that I have complied with the requirements outlined in the 'Submission' section of the 'Guidance' tab</t>
  </si>
  <si>
    <t>Number of credits achieved based on the Energy Allocation method</t>
  </si>
  <si>
    <t>Number of exemplary credits achieved based on the Energy Allocation method</t>
  </si>
  <si>
    <t>Current version</t>
  </si>
  <si>
    <t>Release date</t>
  </si>
  <si>
    <t>Description of changes/additions to previous versions</t>
  </si>
  <si>
    <t>0.0</t>
  </si>
  <si>
    <t>BREEAM In-Use International (SD6063) - V6.0.0 Go-Live version</t>
  </si>
  <si>
    <t>Previous version</t>
  </si>
  <si>
    <t>N/A</t>
  </si>
  <si>
    <t>Fuel</t>
  </si>
  <si>
    <t>Allocated consumption</t>
  </si>
  <si>
    <t>Associated emissions (kgCO2)</t>
  </si>
  <si>
    <t>Maximum consumption</t>
  </si>
  <si>
    <t>Total</t>
  </si>
  <si>
    <t>Difference between Max and Allocated</t>
  </si>
  <si>
    <t>Final percentage of credits available</t>
  </si>
  <si>
    <t>Please enter a description for the meter</t>
  </si>
  <si>
    <t>Please enter the fuel type recorded by this meter</t>
  </si>
  <si>
    <t xml:space="preserve">Please enter a start date for the metered consumption data </t>
  </si>
  <si>
    <t xml:space="preserve">Please enter an end date for the metered consumption data </t>
  </si>
  <si>
    <t>✖ It is not possible to Allocate consumption data where the total reporting period for the meter is not between 11 and 13 months.</t>
  </si>
  <si>
    <t>Please select whether each end use is recorded by this meter</t>
  </si>
  <si>
    <t>Please enter the total consumption recorded by the meter</t>
  </si>
  <si>
    <t>Please enter whether all of the selected end uses cover/serve exactly the same floor area?</t>
  </si>
  <si>
    <t>✖ It is not possible to Allocate consumption data which has multiple end uses that do not service the same floor area</t>
  </si>
  <si>
    <t>Please enter the 'Total area metered'</t>
  </si>
  <si>
    <t>✖ The 'Total area metered' must be equal to, or smaller than the 'Total building area (m²)' captured on the 'Asset Information' tab</t>
  </si>
  <si>
    <t xml:space="preserve">Please enter the 'Assessed area metered' </t>
  </si>
  <si>
    <t>✖ The 'Assessed area metered' must be equal to, or smaller than the 'Total area metered'</t>
  </si>
  <si>
    <t>✖ The 'Assessed area metered' must be equal to, or smaller than the total 'Assessed area' captured on the 'Asset Information' tab</t>
  </si>
  <si>
    <t>✔ Complete (Remember to complete the Assessor Verification Comments)</t>
  </si>
  <si>
    <t>Please enter the 'Asset name' below</t>
  </si>
  <si>
    <t>Please enter the 'Property number' below, starting PRY</t>
  </si>
  <si>
    <t>Please enter the 'Assessment number' below, starting AST</t>
  </si>
  <si>
    <t>Please enter the floor area for the 'Assessed area (m²)'</t>
  </si>
  <si>
    <t>Please enter the total floor area for the entire building below, 'Total building area (m²)'. This must be larger than the figure used for the Assessed area (m²)</t>
  </si>
  <si>
    <t>Please enter the name of the Assessor below, 'Assessor name'</t>
  </si>
  <si>
    <t>Please enter the country which the asset is located below</t>
  </si>
  <si>
    <t>Please enter an Asset Type below</t>
  </si>
  <si>
    <t>Please enter the GIA for the Asset Type(s) listed below</t>
  </si>
  <si>
    <t>✖ Ensure that the 'Assessed Area (m²)' is equal to the sum of all the Asset Type floor areas</t>
  </si>
  <si>
    <t>✔ Proceed to the 'Consumption Data' tab once complete</t>
  </si>
  <si>
    <t>Meter reference</t>
  </si>
  <si>
    <t>Start Date</t>
  </si>
  <si>
    <t>End Date</t>
  </si>
  <si>
    <t>Total Days</t>
  </si>
  <si>
    <t>Years</t>
  </si>
  <si>
    <t>Months</t>
  </si>
  <si>
    <t>Days</t>
  </si>
  <si>
    <t>Acceptable date range? (1=Yes, 0=No)</t>
  </si>
  <si>
    <t>Heating</t>
  </si>
  <si>
    <t>Cooling</t>
  </si>
  <si>
    <t>Ventilation</t>
  </si>
  <si>
    <t>Hot water</t>
  </si>
  <si>
    <t>Decentralised H &amp; C</t>
  </si>
  <si>
    <t>Total consumption (kWh)</t>
  </si>
  <si>
    <t>Total consumption (kWh) adjusted to 12 months</t>
  </si>
  <si>
    <t>Apportioned annual energy consumption (kWh)</t>
  </si>
  <si>
    <t>Comment</t>
  </si>
  <si>
    <t>Has a meter description been provided?</t>
  </si>
  <si>
    <t>Has a fuel type been provided?</t>
  </si>
  <si>
    <t>Has a start date for the metered consumption data been entered?</t>
  </si>
  <si>
    <t>Has an end date for the metered consumption data been entered?</t>
  </si>
  <si>
    <t>Is the date over 11 months?</t>
  </si>
  <si>
    <t>Is the date under 13 months?</t>
  </si>
  <si>
    <t>Has the end use data been completed?</t>
  </si>
  <si>
    <t>Has the total consumption been provided?</t>
  </si>
  <si>
    <t>Has the assessor determined whether the end uses cover/serve exactly the same floor area?</t>
  </si>
  <si>
    <t>Has multiple end uses been selected? Do the end uses cover/serve exactly the same floor area?</t>
  </si>
  <si>
    <t>Has the user entered a floor area for the meter coverage?</t>
  </si>
  <si>
    <t>Is the total area covered by this meter smaller, or equal to, the total asset area on the Asset Information tab?</t>
  </si>
  <si>
    <t>Has the user entered the amount of assessed area which is covered by this meter?</t>
  </si>
  <si>
    <t>Is the assessed area smaller, or equal to, the total metered area?</t>
  </si>
  <si>
    <t>Is the assessed area included within this meter smaller, or equal to, the total assessed area on the Asset Information tab?</t>
  </si>
  <si>
    <t>Can we accept the data? (inverted data validation)</t>
  </si>
  <si>
    <t>Property number (PRY XXXXX XXXXX)</t>
  </si>
  <si>
    <t>Has an asset name been provided?</t>
  </si>
  <si>
    <t>Has a PRY number been added?</t>
  </si>
  <si>
    <t>Has a AST number been added?</t>
  </si>
  <si>
    <t>Has the assessed floor area been entered?</t>
  </si>
  <si>
    <t>Has the total asset area been entered?</t>
  </si>
  <si>
    <t>Has the Assessor name been entered?</t>
  </si>
  <si>
    <t>Has the country of location been entered?</t>
  </si>
  <si>
    <t>Has an asset type been selected?</t>
  </si>
  <si>
    <t>Has the GIA been entered for the different asset types</t>
  </si>
  <si>
    <t>Is the Assessed Area equal to the sum of all the Asset Types?</t>
  </si>
  <si>
    <t>Can we proceed?</t>
  </si>
  <si>
    <t>Assessment number (AST XXXXX XXXXX)</t>
  </si>
  <si>
    <t>Total asset area (m²)</t>
  </si>
  <si>
    <t>Asset Type 1 Gross Internal Area (GIA), m2</t>
  </si>
  <si>
    <t>Asset Type 2 Gross Internal Area (GIA), m2</t>
  </si>
  <si>
    <t>Asset Type 3 Gross Internal Area (GIA), m2</t>
  </si>
  <si>
    <t>Asset Type 4 Gross Internal Area (GIA), m2</t>
  </si>
  <si>
    <t>Asset Type 5 Gross Internal Area (GIA), m2</t>
  </si>
  <si>
    <t>Complete</t>
  </si>
  <si>
    <t>Reference Benchmark</t>
  </si>
  <si>
    <t>Climate Adjusted Benchmarks</t>
  </si>
  <si>
    <t>Asset Type 1</t>
  </si>
  <si>
    <t>end use</t>
  </si>
  <si>
    <t>electricity</t>
  </si>
  <si>
    <t>gas</t>
  </si>
  <si>
    <t>heating</t>
  </si>
  <si>
    <t>heating dist</t>
  </si>
  <si>
    <t>cooling</t>
  </si>
  <si>
    <t>cooling dist</t>
  </si>
  <si>
    <t>ventilation</t>
  </si>
  <si>
    <t>lighting</t>
  </si>
  <si>
    <t>hot water</t>
  </si>
  <si>
    <t>catering</t>
  </si>
  <si>
    <t>other equipment</t>
  </si>
  <si>
    <t>total</t>
  </si>
  <si>
    <t>Asset Type 2</t>
  </si>
  <si>
    <t>Asset Type 3</t>
  </si>
  <si>
    <t>Asset Type 4</t>
  </si>
  <si>
    <t>Asset Type 5</t>
  </si>
  <si>
    <t>Asset</t>
  </si>
  <si>
    <t>Area</t>
  </si>
  <si>
    <t>Area Weighted Average</t>
  </si>
  <si>
    <t>STANDARD</t>
  </si>
  <si>
    <t>CLIMATE ADJUSTED</t>
  </si>
  <si>
    <t>Delivered Energy, kWh/m2/year</t>
  </si>
  <si>
    <t>Carbon Emissions, kgCO2/m2/year</t>
  </si>
  <si>
    <t>Gas</t>
  </si>
  <si>
    <t>[benchmarks and scoring development CP03.02.2020.xlsx]improved translator curve'!$M$5</t>
  </si>
  <si>
    <t>Actual consumption and emissions</t>
  </si>
  <si>
    <t>Operational Energy Rating</t>
  </si>
  <si>
    <t>updated 13/02/20120</t>
  </si>
  <si>
    <t>% of benchmark</t>
  </si>
  <si>
    <t>credits</t>
  </si>
  <si>
    <t>exemplary credits</t>
  </si>
  <si>
    <t>Energy Source</t>
  </si>
  <si>
    <t>Delivered Energy, kWh, reporting period</t>
  </si>
  <si>
    <t>Delivered Energy kWh per year</t>
  </si>
  <si>
    <t>Primary Energy, kWh per year</t>
  </si>
  <si>
    <t>Carbon Emissions, kgCO2eq per year</t>
  </si>
  <si>
    <t>Start of reporting period</t>
  </si>
  <si>
    <t>End of reporting period</t>
  </si>
  <si>
    <t>Number of days</t>
  </si>
  <si>
    <t>Middle of reporting period</t>
  </si>
  <si>
    <t>CO2 Emissions</t>
  </si>
  <si>
    <t>kgCO2eq/m2</t>
  </si>
  <si>
    <t>From</t>
  </si>
  <si>
    <t>BIU Operational Energy Credits</t>
  </si>
  <si>
    <t>Credits (Rounded down and cap on 0)</t>
  </si>
  <si>
    <t>Exemplary credits</t>
  </si>
  <si>
    <t>Using CO2 Emissions</t>
  </si>
  <si>
    <t>Total per m2</t>
  </si>
  <si>
    <t>Burning oil</t>
  </si>
  <si>
    <t>Diesel</t>
  </si>
  <si>
    <t>Fuel Oil</t>
  </si>
  <si>
    <t>Gas Oil</t>
  </si>
  <si>
    <t>Petrol</t>
  </si>
  <si>
    <t>LNG</t>
  </si>
  <si>
    <t>LPG</t>
  </si>
  <si>
    <t>Natural Gas</t>
  </si>
  <si>
    <t>Other Petroleum Gas</t>
  </si>
  <si>
    <t>Landfill Gas</t>
  </si>
  <si>
    <t>Coal (domestic)</t>
  </si>
  <si>
    <t>Coking coal</t>
  </si>
  <si>
    <t>Charcoal</t>
  </si>
  <si>
    <t>Petroleum Coke</t>
  </si>
  <si>
    <t>Biodiesel</t>
  </si>
  <si>
    <t>Biogas</t>
  </si>
  <si>
    <t>Wood or waste wood</t>
  </si>
  <si>
    <t>Renewable Source</t>
  </si>
  <si>
    <t>District Heating</t>
  </si>
  <si>
    <t>District Cooling</t>
  </si>
  <si>
    <t>[Copy of IBIU benchmarks v6 (Developing) Jan 2020v2.1endusecomp.xlsb.xlsx]end use breakdown'!B5:p65</t>
  </si>
  <si>
    <t>Space heating generation (elec)</t>
  </si>
  <si>
    <t xml:space="preserve">Heat Distribution </t>
  </si>
  <si>
    <t>Cooling generation</t>
  </si>
  <si>
    <t>Cooling distribution</t>
  </si>
  <si>
    <t>Mechanical Ventilation</t>
  </si>
  <si>
    <t>Hot Water generation (elec)</t>
  </si>
  <si>
    <t>Lighting</t>
  </si>
  <si>
    <t>Other (elec)</t>
  </si>
  <si>
    <t>Space heating generation (thermal)</t>
  </si>
  <si>
    <t>Hot Water generation (thermal)</t>
  </si>
  <si>
    <t>Other (thermal)</t>
  </si>
  <si>
    <t>check other</t>
  </si>
  <si>
    <t>check electric</t>
  </si>
  <si>
    <t>other</t>
  </si>
  <si>
    <t>Airport terminal</t>
  </si>
  <si>
    <t>Airport asset common areas*</t>
  </si>
  <si>
    <t>Laboratory</t>
  </si>
  <si>
    <t>heat distribution</t>
  </si>
  <si>
    <t>Commercial Laboratory asset common areas*</t>
  </si>
  <si>
    <t>Community hub</t>
  </si>
  <si>
    <t>cooling distribution</t>
  </si>
  <si>
    <t>Library</t>
  </si>
  <si>
    <t>Place of worship</t>
  </si>
  <si>
    <t>Community asset common areas*</t>
  </si>
  <si>
    <t>Further/Higher Education: Institutional catering</t>
  </si>
  <si>
    <t>Further/Higher Education: lecture room (non-science)</t>
  </si>
  <si>
    <t>Further/Higher Education: lecture room (science)</t>
  </si>
  <si>
    <t>total energy for fuel</t>
  </si>
  <si>
    <t>Further/Higher Education: library</t>
  </si>
  <si>
    <t>Further/Higher Education: laboratory</t>
  </si>
  <si>
    <t>Primary school</t>
  </si>
  <si>
    <t>Secondary school</t>
  </si>
  <si>
    <t>Residential college or school (halls of residence)</t>
  </si>
  <si>
    <t>Education asset common areas*</t>
  </si>
  <si>
    <t>Cinema</t>
  </si>
  <si>
    <t>Fast food restaurant or café</t>
  </si>
  <si>
    <t>Performing arts theatre</t>
  </si>
  <si>
    <t>Restaurant</t>
  </si>
  <si>
    <t>Entertainment asset common areas*</t>
  </si>
  <si>
    <t>Ambulance station</t>
  </si>
  <si>
    <t>Hospital: acute + maternity</t>
  </si>
  <si>
    <t>Hospital: cottage</t>
  </si>
  <si>
    <t>Hospital: long stay</t>
  </si>
  <si>
    <t>Hospital: teaching + specialist</t>
  </si>
  <si>
    <t>Primary healthcare surgery</t>
  </si>
  <si>
    <t>Healthcare asset common areas*</t>
  </si>
  <si>
    <t>Hotel</t>
  </si>
  <si>
    <t>Hospitality asset common areas*</t>
  </si>
  <si>
    <t>Distribution and storage</t>
  </si>
  <si>
    <t>General manufacturing</t>
  </si>
  <si>
    <t>Light manufacturing</t>
  </si>
  <si>
    <t>Industrial asset common areas*</t>
  </si>
  <si>
    <t>Cellular office</t>
  </si>
  <si>
    <t>Open plan office</t>
  </si>
  <si>
    <t>Office asset common areas*</t>
  </si>
  <si>
    <t>Fire station</t>
  </si>
  <si>
    <t>Law court</t>
  </si>
  <si>
    <t>Police station</t>
  </si>
  <si>
    <t>Town hall</t>
  </si>
  <si>
    <t>Government services asset common areas*</t>
  </si>
  <si>
    <t>Residential care home</t>
  </si>
  <si>
    <t>Sheltered housing</t>
  </si>
  <si>
    <t>Short stay housing units</t>
  </si>
  <si>
    <t>Supportive Housing asset common areas*</t>
  </si>
  <si>
    <t>Department store</t>
  </si>
  <si>
    <t>Distribution warehouse</t>
  </si>
  <si>
    <t>Retail store</t>
  </si>
  <si>
    <t>Retail services</t>
  </si>
  <si>
    <t>Small food shop</t>
  </si>
  <si>
    <t>Supermarket</t>
  </si>
  <si>
    <t>Retail asset common areas*</t>
  </si>
  <si>
    <t>Fitness centre/gym</t>
  </si>
  <si>
    <t>Ice rink</t>
  </si>
  <si>
    <t>Indoor swimming pool</t>
  </si>
  <si>
    <t>Sport asset common areas*</t>
  </si>
  <si>
    <t>Vacant (Unfitted)*</t>
  </si>
  <si>
    <t>Vacant (Unoccupied)*</t>
  </si>
  <si>
    <t>mains supplied electricity</t>
  </si>
  <si>
    <t>[CO2 &amp; DD master.xlsx]updated values'</t>
  </si>
  <si>
    <t>Natural gas</t>
  </si>
  <si>
    <t>replaced with latest available on 28/01/2020</t>
  </si>
  <si>
    <t>Burning oil/kerosene</t>
  </si>
  <si>
    <t>Country</t>
  </si>
  <si>
    <t>HDD</t>
  </si>
  <si>
    <t>CDD</t>
  </si>
  <si>
    <t>Elec CO2 Emissions</t>
  </si>
  <si>
    <t>Gas oil</t>
  </si>
  <si>
    <t>Electrical (lighting etc.)</t>
  </si>
  <si>
    <t>Afghanistan</t>
  </si>
  <si>
    <t>Fuel oil</t>
  </si>
  <si>
    <t>Albania</t>
  </si>
  <si>
    <t>Algeria</t>
  </si>
  <si>
    <t>Angola</t>
  </si>
  <si>
    <t>Other petroleum gas</t>
  </si>
  <si>
    <t>Antigua &amp; Barbuda</t>
  </si>
  <si>
    <t>Coal</t>
  </si>
  <si>
    <t>Argentina</t>
  </si>
  <si>
    <t>Biodiesels</t>
  </si>
  <si>
    <t>Armenia</t>
  </si>
  <si>
    <t>Landfill gas</t>
  </si>
  <si>
    <t>Australia</t>
  </si>
  <si>
    <t>Other biogas</t>
  </si>
  <si>
    <t>Austria</t>
  </si>
  <si>
    <t>Wood</t>
  </si>
  <si>
    <t>Azerbaijan</t>
  </si>
  <si>
    <t>Renewable heat source or renewable cooling source</t>
  </si>
  <si>
    <t>Bahamas</t>
  </si>
  <si>
    <t>District heating</t>
  </si>
  <si>
    <t>Bahrain</t>
  </si>
  <si>
    <t>[Copy of Operational_Energy_Calc_Clean_BIUv6_v2.31.xls]Lookups'!J15</t>
  </si>
  <si>
    <t>District cooling</t>
  </si>
  <si>
    <t>Bangladesh</t>
  </si>
  <si>
    <t>CO2 Factors</t>
  </si>
  <si>
    <t>renewable electricity generated onsite</t>
  </si>
  <si>
    <t>Barbados</t>
  </si>
  <si>
    <t>Belarus</t>
  </si>
  <si>
    <t>Belgium</t>
  </si>
  <si>
    <t>Belize</t>
  </si>
  <si>
    <t>Benin</t>
  </si>
  <si>
    <t>Bhutan</t>
  </si>
  <si>
    <t>Bolivia</t>
  </si>
  <si>
    <t>Bosnia &amp;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</si>
  <si>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</si>
  <si>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</si>
  <si>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</si>
  <si>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</si>
  <si>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</si>
  <si>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</si>
  <si>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</si>
  <si>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</si>
  <si>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</si>
  <si>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</si>
  <si>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</si>
  <si>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</si>
  <si>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</si>
  <si>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</si>
  <si>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</si>
  <si>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</si>
  <si>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t>
  </si>
  <si>
    <t>Congo, Dem. Republic</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</si>
  <si>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</si>
  <si>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</si>
  <si>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</si>
  <si>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</si>
  <si>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</si>
  <si>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</si>
  <si>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</si>
  <si>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</si>
  <si>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</si>
  <si>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</si>
  <si>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</si>
  <si>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</si>
  <si>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</si>
  <si>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</si>
  <si>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</si>
  <si>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</si>
  <si>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</si>
  <si>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</si>
  <si>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</si>
  <si>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</si>
  <si>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</si>
  <si>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</si>
  <si>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</si>
  <si>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</si>
  <si>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</si>
  <si>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</si>
  <si>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</si>
  <si>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</si>
  <si>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</si>
  <si>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</si>
  <si>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</si>
  <si>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</si>
  <si>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</si>
  <si>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</si>
  <si>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</si>
  <si>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</si>
  <si>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</si>
  <si>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</si>
  <si>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</si>
  <si>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</si>
  <si>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</si>
  <si>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</si>
  <si>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</si>
  <si>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</si>
  <si>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</si>
  <si>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</si>
  <si>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</si>
  <si>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</si>
  <si>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</si>
  <si>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</si>
  <si>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</si>
  <si>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Kuwait</t>
  </si>
  <si>
    <t>Kyrgyzstan</t>
  </si>
  <si>
    <t>Laos</t>
  </si>
  <si>
    <t>Latvia</t>
  </si>
  <si>
    <t>Lebanon</t>
  </si>
  <si>
    <t>Lesotho</t>
  </si>
  <si>
    <t>Liberia</t>
  </si>
  <si>
    <t>Libya</t>
  </si>
  <si>
    <t>Lithuania</t>
  </si>
  <si>
    <t>Luxembourg</t>
  </si>
  <si>
    <t>Macedonia, FYR</t>
  </si>
  <si>
    <t>Madagascar</t>
  </si>
  <si>
    <t>Malawi</t>
  </si>
  <si>
    <t>Malaysia</t>
  </si>
  <si>
    <t>Maldives</t>
  </si>
  <si>
    <t>Mali</t>
  </si>
  <si>
    <t>Malta</t>
  </si>
  <si>
    <t>Mauritania</t>
  </si>
  <si>
    <t>Mauritius</t>
  </si>
  <si>
    <t>Mexico</t>
  </si>
  <si>
    <t>Moldova</t>
  </si>
  <si>
    <t>Mongolia</t>
  </si>
  <si>
    <t>Morocco</t>
  </si>
  <si>
    <t>Mozambique</t>
  </si>
  <si>
    <t>Myanmar</t>
  </si>
  <si>
    <t>Namibia</t>
  </si>
  <si>
    <t>Nauru</t>
  </si>
  <si>
    <t>Nepal</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</si>
  <si>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</si>
  <si>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</si>
  <si>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</si>
  <si>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</si>
  <si>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</si>
  <si>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</si>
  <si>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</si>
  <si>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</si>
  <si>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</si>
  <si>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</si>
  <si>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</si>
  <si>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</si>
  <si>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</si>
  <si>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</si>
  <si>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</si>
  <si>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</si>
  <si>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</si>
  <si>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Romania</t>
  </si>
  <si>
    <t>Russia</t>
  </si>
  <si>
    <t>Rwanda</t>
  </si>
  <si>
    <t>Saint Kitts &amp;  Nevis</t>
  </si>
  <si>
    <t>Saint Lucia</t>
  </si>
  <si>
    <t>Saint Vincent &amp;  Grenadines</t>
  </si>
  <si>
    <t>Samoa</t>
  </si>
  <si>
    <t>Sao Tome &amp;  Principe</t>
  </si>
  <si>
    <t>Saudi Arabia</t>
  </si>
  <si>
    <t>Senegal</t>
  </si>
  <si>
    <t>Serbia &amp; Montenegro</t>
  </si>
  <si>
    <t>Seychelles</t>
  </si>
  <si>
    <t>Sierra Leone</t>
  </si>
  <si>
    <t>Singapore</t>
  </si>
  <si>
    <t>Slovakia</t>
  </si>
  <si>
    <t>Slovenia</t>
  </si>
  <si>
    <t>Solomon Islands</t>
  </si>
  <si>
    <t>South Africa</t>
  </si>
  <si>
    <t>Spain</t>
  </si>
  <si>
    <t>Sri Lanka</t>
  </si>
  <si>
    <t>Sudan</t>
  </si>
  <si>
    <t>Suriname</t>
  </si>
  <si>
    <t>Swaziland</t>
  </si>
  <si>
    <t>Sweden</t>
  </si>
  <si>
    <t>Switzerland</t>
  </si>
  <si>
    <t>Syria</t>
  </si>
  <si>
    <t>Taiwan</t>
  </si>
  <si>
    <t>Tajikistan</t>
  </si>
  <si>
    <t>Tanzania</t>
  </si>
  <si>
    <t>Thailand</t>
  </si>
  <si>
    <t>Togo</t>
  </si>
  <si>
    <t>Tonga</t>
  </si>
  <si>
    <t>Trinidad &amp;</t>
  </si>
  <si>
    <t>Tunisia</t>
  </si>
  <si>
    <t>Turkey</t>
  </si>
  <si>
    <t>Turkmenistan</t>
  </si>
  <si>
    <t>Uganda</t>
  </si>
  <si>
    <t>Ukraine</t>
  </si>
  <si>
    <t>United Arab Emirates</t>
  </si>
  <si>
    <t>United Kingdom</t>
  </si>
  <si>
    <t>United States of America</t>
  </si>
  <si>
    <t>Uruguay</t>
  </si>
  <si>
    <t>Uzbekistan</t>
  </si>
  <si>
    <t>Vanuatu</t>
  </si>
  <si>
    <t>Venezuela</t>
  </si>
  <si>
    <t>Vietnam</t>
  </si>
  <si>
    <t>Yemen</t>
  </si>
  <si>
    <t>Zambia</t>
  </si>
  <si>
    <t>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</si>
</sst>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00_ ;\-#,##0.00\ "/>
    <numFmt numFmtId="166" formatCode="_-* #,##0.0000_-;\-* #,##0.0000_-;_-* &quot;-&quot;??_-;_-@_-"/>
    <numFmt numFmtId="167" formatCode="_-* #,##0_-;\-* #,##0_-;_-* &quot;-&quot;??_-;_-@_-"/>
    <numFmt numFmtId="168" formatCode="_-* #,##0.0_-;\-* #,##0.0_-;_-* &quot;-&quot;??_-;_-@_-"/>
  </numFmts>
  <fonts count="48" x14ac:knownFonts="1">
    <font>
      <sz val="11"/>
      <color theme="1"/>
      <name val="Calibri"/>
      <family val="2"/>
      <scheme val="minor"/>
    </font>
    <font>
      <b/>
      <sz val="12"/>
      <color theme="0"/>
      <name val="Calibri"/>
      <family val="2"/>
      <scheme val="minor"/>
    </font>
    <font>
      <sz val="12"/>
      <color theme="1"/>
      <name val="Calibri"/>
      <family val="2"/>
      <scheme val="minor"/>
    </font>
    <font>
      <b/>
      <sz val="20"/>
      <color theme="0"/>
      <name val="Calibri"/>
      <family val="2"/>
      <scheme val="minor"/>
    </font>
    <font>
      <sz val="11"/>
      <color theme="1"/>
      <name val="Calibri"/>
      <family val="2"/>
      <scheme val="minor"/>
    </font>
    <font>
      <b/>
      <sz val="10"/>
      <color rgb="FF000000"/>
      <name val="Calibri"/>
      <family val="2"/>
      <scheme val="minor"/>
    </font>
    <font>
      <b/>
      <sz val="9"/>
      <color theme="1"/>
      <name val="Arial"/>
      <family val="2"/>
    </font>
    <font>
      <sz val="10"/>
      <name val="Arial"/>
      <family val="2"/>
    </font>
    <font>
      <sz val="10"/>
      <name val="Calibri"/>
      <family val="2"/>
      <scheme val="minor"/>
    </font>
    <font>
      <b/>
      <sz val="11"/>
      <color theme="1"/>
      <name val="Calibri"/>
      <family val="2"/>
      <scheme val="minor"/>
    </font>
    <font>
      <sz val="9"/>
      <color theme="1"/>
      <name val="Arial"/>
      <family val="2"/>
    </font>
    <font>
      <sz val="10"/>
      <color rgb="FF000000"/>
      <name val="Calibri"/>
      <family val="2"/>
    </font>
    <font>
      <sz val="10"/>
      <color theme="1"/>
      <name val="Calibri"/>
      <family val="2"/>
    </font>
    <font>
      <sz val="10"/>
      <color theme="1"/>
      <name val="Arial"/>
      <family val="2"/>
    </font>
    <font>
      <b/>
      <sz val="10"/>
      <color theme="1"/>
      <name val="Arial"/>
      <family val="2"/>
    </font>
    <font>
      <b/>
      <sz val="11"/>
      <color theme="0"/>
      <name val="Calibri"/>
      <family val="2"/>
      <scheme val="minor"/>
    </font>
    <font>
      <sz val="11"/>
      <name val="Calibri"/>
      <family val="2"/>
      <scheme val="minor"/>
    </font>
    <font>
      <b/>
      <sz val="14"/>
      <color theme="0"/>
      <name val="Calibri"/>
      <family val="2"/>
      <scheme val="minor"/>
    </font>
    <font>
      <sz val="14"/>
      <color theme="0"/>
      <name val="Calibri"/>
      <family val="2"/>
      <scheme val="minor"/>
    </font>
    <font>
      <u/>
      <sz val="11"/>
      <color theme="10"/>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sz val="10"/>
      <color theme="1"/>
      <name val="Arial Unicode MS"/>
      <family val="2"/>
    </font>
    <font>
      <sz val="10"/>
      <color rgb="FF000000"/>
      <name val="Arial"/>
      <family val="2"/>
    </font>
    <font>
      <sz val="10"/>
      <name val="Trebuchet MS"/>
      <family val="2"/>
    </font>
    <font>
      <sz val="11"/>
      <color theme="1"/>
      <name val="Arial"/>
      <family val="2"/>
    </font>
    <font>
      <b/>
      <sz val="20"/>
      <color theme="0"/>
      <name val="Arial"/>
      <family val="2"/>
    </font>
    <font>
      <b/>
      <sz val="14"/>
      <color theme="0"/>
      <name val="Arial"/>
      <family val="2"/>
    </font>
    <font>
      <sz val="12"/>
      <color theme="1"/>
      <name val="Arial"/>
      <family val="2"/>
    </font>
    <font>
      <b/>
      <sz val="12"/>
      <color theme="1"/>
      <name val="Arial"/>
      <family val="2"/>
    </font>
    <font>
      <sz val="14"/>
      <color theme="0"/>
      <name val="Arial"/>
      <family val="2"/>
    </font>
    <font>
      <b/>
      <u/>
      <sz val="12"/>
      <color theme="1"/>
      <name val="Arial"/>
      <family val="2"/>
    </font>
    <font>
      <b/>
      <u/>
      <sz val="12"/>
      <color rgb="FFC00000"/>
      <name val="Arial"/>
      <family val="2"/>
    </font>
    <font>
      <i/>
      <sz val="12"/>
      <color theme="1"/>
      <name val="Arial"/>
      <family val="2"/>
    </font>
    <font>
      <u/>
      <sz val="12"/>
      <color theme="10"/>
      <name val="Arial"/>
      <family val="2"/>
    </font>
    <font>
      <vertAlign val="subscript"/>
      <sz val="12"/>
      <color theme="1"/>
      <name val="Arial"/>
      <family val="2"/>
    </font>
    <font>
      <sz val="12"/>
      <name val="Arial"/>
      <family val="2"/>
    </font>
    <font>
      <b/>
      <sz val="12"/>
      <name val="Arial"/>
      <family val="2"/>
    </font>
    <font>
      <b/>
      <sz val="18"/>
      <color theme="0"/>
      <name val="Arial"/>
      <family val="2"/>
    </font>
    <font>
      <sz val="16"/>
      <color theme="0"/>
      <name val="Arial"/>
      <family val="2"/>
    </font>
    <font>
      <b/>
      <sz val="11"/>
      <name val="Arial"/>
      <family val="2"/>
    </font>
    <font>
      <b/>
      <sz val="11"/>
      <color rgb="FFFF0000"/>
      <name val="Arial"/>
      <family val="2"/>
    </font>
    <font>
      <vertAlign val="subscript"/>
      <sz val="11"/>
      <color theme="1"/>
      <name val="Arial"/>
      <family val="2"/>
    </font>
    <font>
      <b/>
      <sz val="16"/>
      <color theme="0"/>
      <name val="Arial"/>
      <family val="2"/>
    </font>
    <font>
      <b/>
      <sz val="11"/>
      <color theme="0"/>
      <name val="Arial"/>
      <family val="2"/>
    </font>
    <font>
      <i/>
      <sz val="11"/>
      <name val="Arial"/>
      <family val="2"/>
    </font>
    <font>
      <sz val="11"/>
      <name val="Arial"/>
      <family val="2"/>
    </font>
  </fonts>
  <fills count="30">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3D6864"/>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FFFF"/>
        <bgColor indexed="64"/>
      </patternFill>
    </fill>
    <fill>
      <patternFill patternType="solid">
        <fgColor rgb="FF66FFFF"/>
        <bgColor indexed="64"/>
      </patternFill>
    </fill>
    <fill>
      <patternFill patternType="solid">
        <fgColor rgb="FF00B050"/>
        <bgColor indexed="64"/>
      </patternFill>
    </fill>
    <fill>
      <patternFill patternType="solid">
        <fgColor rgb="FF0070C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rgb="FF56B146"/>
        <bgColor indexed="64"/>
      </patternFill>
    </fill>
    <fill>
      <patternFill patternType="solid">
        <fgColor theme="5" tint="0.59999389629810485"/>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9"/>
        <bgColor indexed="64"/>
      </patternFill>
    </fill>
    <fill>
      <patternFill patternType="solid">
        <fgColor rgb="FFEBF2F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top style="medium">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70C0"/>
      </left>
      <right/>
      <top style="medium">
        <color rgb="FF0070C0"/>
      </top>
      <bottom/>
      <diagonal/>
    </border>
    <border>
      <left/>
      <right/>
      <top style="medium">
        <color rgb="FF0070C0"/>
      </top>
      <bottom/>
      <diagonal/>
    </border>
    <border>
      <left style="medium">
        <color rgb="FF0070C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5">
    <xf numFmtId="0" fontId="0" fillId="0" borderId="0"/>
    <xf numFmtId="164" fontId="4" fillId="0" borderId="0" applyFont="0" applyFill="0" applyBorder="0" applyAlignment="0" applyProtection="0"/>
    <xf numFmtId="0" fontId="7" fillId="0" borderId="0"/>
    <xf numFmtId="0" fontId="10" fillId="0" borderId="0"/>
    <xf numFmtId="0" fontId="19" fillId="0" borderId="0" applyNumberFormat="0" applyFill="0" applyBorder="0" applyAlignment="0" applyProtection="0"/>
  </cellStyleXfs>
  <cellXfs count="279">
    <xf numFmtId="0" fontId="0" fillId="0" borderId="0" xfId="0"/>
    <xf numFmtId="0" fontId="0" fillId="0" borderId="0" xfId="0" applyAlignment="1">
      <alignment horizontal="left" vertical="top" wrapText="1"/>
    </xf>
    <xf numFmtId="0" fontId="0" fillId="0" borderId="0" xfId="0" applyAlignment="1">
      <alignment vertical="center"/>
    </xf>
    <xf numFmtId="0" fontId="1" fillId="4" borderId="4" xfId="0" applyFont="1" applyFill="1" applyBorder="1" applyAlignment="1">
      <alignment horizontal="left" vertical="center" wrapText="1"/>
    </xf>
    <xf numFmtId="0" fontId="2" fillId="0" borderId="1" xfId="0" applyFont="1" applyBorder="1" applyAlignment="1">
      <alignment horizontal="center" vertical="center"/>
    </xf>
    <xf numFmtId="4" fontId="0" fillId="0" borderId="0" xfId="0" applyNumberFormat="1"/>
    <xf numFmtId="0" fontId="1" fillId="4" borderId="2" xfId="0" applyFont="1" applyFill="1" applyBorder="1" applyAlignment="1">
      <alignment vertical="center" wrapText="1"/>
    </xf>
    <xf numFmtId="0" fontId="1" fillId="4" borderId="5" xfId="0" applyFont="1" applyFill="1" applyBorder="1" applyAlignment="1">
      <alignment vertical="center" wrapText="1"/>
    </xf>
    <xf numFmtId="0" fontId="1" fillId="4" borderId="3" xfId="0" applyFont="1" applyFill="1" applyBorder="1" applyAlignment="1">
      <alignment vertical="center" wrapText="1"/>
    </xf>
    <xf numFmtId="0" fontId="2" fillId="0" borderId="1" xfId="0" applyFont="1" applyBorder="1" applyAlignment="1">
      <alignment horizontal="left" vertical="center"/>
    </xf>
    <xf numFmtId="0" fontId="8" fillId="0" borderId="13" xfId="2" applyFont="1" applyBorder="1"/>
    <xf numFmtId="0" fontId="8" fillId="0" borderId="19" xfId="2" applyFont="1" applyBorder="1"/>
    <xf numFmtId="0" fontId="11" fillId="0" borderId="0" xfId="0" applyFont="1" applyAlignment="1">
      <alignment vertical="center"/>
    </xf>
    <xf numFmtId="0" fontId="11" fillId="0" borderId="29" xfId="0" applyFont="1" applyBorder="1" applyAlignment="1">
      <alignment vertical="center"/>
    </xf>
    <xf numFmtId="0" fontId="1" fillId="4" borderId="32" xfId="0" applyFont="1" applyFill="1" applyBorder="1" applyAlignment="1">
      <alignment horizontal="left" vertical="center" wrapText="1"/>
    </xf>
    <xf numFmtId="14"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3" fillId="0" borderId="0" xfId="0" applyFont="1" applyAlignment="1">
      <alignment vertical="center"/>
    </xf>
    <xf numFmtId="0" fontId="0" fillId="0" borderId="1" xfId="0" applyBorder="1"/>
    <xf numFmtId="0" fontId="1" fillId="4" borderId="1" xfId="0" applyFont="1" applyFill="1" applyBorder="1" applyAlignment="1">
      <alignment horizontal="left" vertical="center" wrapText="1"/>
    </xf>
    <xf numFmtId="0" fontId="17" fillId="4" borderId="1" xfId="0" applyFont="1" applyFill="1" applyBorder="1" applyAlignment="1">
      <alignment vertical="center"/>
    </xf>
    <xf numFmtId="0" fontId="9" fillId="2" borderId="1" xfId="0" applyFont="1" applyFill="1" applyBorder="1" applyAlignment="1">
      <alignment horizontal="left" vertical="center" wrapText="1"/>
    </xf>
    <xf numFmtId="0" fontId="17" fillId="4" borderId="2" xfId="0" applyFont="1" applyFill="1" applyBorder="1" applyAlignment="1">
      <alignment horizontal="left" vertical="center"/>
    </xf>
    <xf numFmtId="0" fontId="0" fillId="2" borderId="2" xfId="0" applyFill="1" applyBorder="1" applyAlignment="1">
      <alignment horizontal="left" vertical="center"/>
    </xf>
    <xf numFmtId="0" fontId="15" fillId="16" borderId="1" xfId="0" applyFont="1" applyFill="1" applyBorder="1" applyAlignment="1">
      <alignment wrapText="1"/>
    </xf>
    <xf numFmtId="0" fontId="9" fillId="18" borderId="1" xfId="0" applyFont="1" applyFill="1" applyBorder="1" applyAlignment="1">
      <alignment wrapText="1"/>
    </xf>
    <xf numFmtId="4" fontId="9" fillId="19" borderId="1" xfId="0" applyNumberFormat="1" applyFont="1" applyFill="1" applyBorder="1" applyAlignment="1">
      <alignment wrapText="1"/>
    </xf>
    <xf numFmtId="0" fontId="9" fillId="19" borderId="1" xfId="0" applyFont="1" applyFill="1" applyBorder="1" applyAlignment="1">
      <alignment wrapText="1"/>
    </xf>
    <xf numFmtId="4" fontId="0" fillId="15" borderId="1" xfId="0" applyNumberFormat="1" applyFill="1" applyBorder="1"/>
    <xf numFmtId="0" fontId="0" fillId="15" borderId="1" xfId="0" applyFill="1" applyBorder="1"/>
    <xf numFmtId="4" fontId="0" fillId="20" borderId="1" xfId="0" applyNumberFormat="1" applyFill="1" applyBorder="1"/>
    <xf numFmtId="0" fontId="0" fillId="20" borderId="1" xfId="0" applyFill="1" applyBorder="1"/>
    <xf numFmtId="4" fontId="9" fillId="19" borderId="1" xfId="0" applyNumberFormat="1" applyFont="1" applyFill="1" applyBorder="1"/>
    <xf numFmtId="0" fontId="9" fillId="19" borderId="1" xfId="0" applyFont="1" applyFill="1" applyBorder="1"/>
    <xf numFmtId="0" fontId="9" fillId="18" borderId="1" xfId="0" applyFont="1" applyFill="1" applyBorder="1"/>
    <xf numFmtId="0" fontId="15" fillId="21" borderId="1" xfId="0" applyFont="1" applyFill="1" applyBorder="1" applyAlignment="1">
      <alignment wrapText="1"/>
    </xf>
    <xf numFmtId="0" fontId="15" fillId="21" borderId="1" xfId="0" applyFont="1" applyFill="1" applyBorder="1"/>
    <xf numFmtId="9" fontId="0" fillId="17" borderId="1" xfId="0" applyNumberFormat="1" applyFill="1" applyBorder="1"/>
    <xf numFmtId="1" fontId="2" fillId="0" borderId="1" xfId="0" applyNumberFormat="1" applyFont="1" applyBorder="1" applyAlignment="1">
      <alignment horizontal="center" vertical="center"/>
    </xf>
    <xf numFmtId="0" fontId="9" fillId="23" borderId="1" xfId="0" applyFont="1" applyFill="1" applyBorder="1" applyAlignment="1">
      <alignment horizontal="left" vertical="center" wrapText="1"/>
    </xf>
    <xf numFmtId="0" fontId="9" fillId="24" borderId="0" xfId="0" applyFont="1" applyFill="1" applyAlignment="1">
      <alignment horizontal="left" vertical="center" wrapText="1"/>
    </xf>
    <xf numFmtId="0" fontId="9" fillId="24" borderId="0" xfId="0" applyFont="1" applyFill="1" applyAlignment="1">
      <alignment horizontal="center" vertical="center"/>
    </xf>
    <xf numFmtId="0" fontId="9" fillId="0" borderId="1" xfId="0" applyFont="1" applyBorder="1" applyAlignment="1" applyProtection="1">
      <alignment horizontal="center" vertical="center"/>
      <protection locked="0"/>
    </xf>
    <xf numFmtId="0" fontId="21" fillId="0" borderId="0" xfId="0" applyFont="1"/>
    <xf numFmtId="0" fontId="18" fillId="4" borderId="0" xfId="0" applyFont="1" applyFill="1" applyAlignment="1">
      <alignment vertical="center" wrapText="1"/>
    </xf>
    <xf numFmtId="0" fontId="18" fillId="24" borderId="0" xfId="0" applyFont="1" applyFill="1" applyAlignment="1">
      <alignment vertical="center" wrapText="1"/>
    </xf>
    <xf numFmtId="49" fontId="0" fillId="0" borderId="1" xfId="0" applyNumberFormat="1" applyBorder="1" applyAlignment="1">
      <alignment horizontal="left"/>
    </xf>
    <xf numFmtId="14" fontId="0" fillId="0" borderId="1" xfId="0" applyNumberFormat="1" applyBorder="1" applyAlignment="1">
      <alignment horizontal="left"/>
    </xf>
    <xf numFmtId="0" fontId="0" fillId="25" borderId="1" xfId="0" applyFill="1" applyBorder="1"/>
    <xf numFmtId="0" fontId="0" fillId="0" borderId="54" xfId="0" applyBorder="1"/>
    <xf numFmtId="0" fontId="0" fillId="25" borderId="0" xfId="0" applyFill="1"/>
    <xf numFmtId="166" fontId="10" fillId="0" borderId="0" xfId="1" applyNumberFormat="1" applyFont="1"/>
    <xf numFmtId="0" fontId="0" fillId="0" borderId="42" xfId="0" applyBorder="1"/>
    <xf numFmtId="0" fontId="0" fillId="0" borderId="43" xfId="0" applyBorder="1"/>
    <xf numFmtId="0" fontId="0" fillId="0" borderId="44" xfId="0" applyBorder="1"/>
    <xf numFmtId="0" fontId="0" fillId="0" borderId="45" xfId="0" applyBorder="1"/>
    <xf numFmtId="0" fontId="6" fillId="0" borderId="0" xfId="0" applyFont="1"/>
    <xf numFmtId="0" fontId="0" fillId="0" borderId="46" xfId="0" applyBorder="1"/>
    <xf numFmtId="0" fontId="6" fillId="11" borderId="2" xfId="0" applyFont="1" applyFill="1" applyBorder="1" applyAlignment="1">
      <alignment horizontal="center"/>
    </xf>
    <xf numFmtId="0" fontId="6" fillId="11" borderId="1" xfId="0" applyFont="1" applyFill="1" applyBorder="1" applyAlignment="1">
      <alignment horizontal="center"/>
    </xf>
    <xf numFmtId="0" fontId="0" fillId="0" borderId="0" xfId="0" applyAlignment="1">
      <alignment horizontal="center"/>
    </xf>
    <xf numFmtId="0" fontId="0" fillId="0" borderId="32" xfId="0" applyBorder="1" applyAlignment="1">
      <alignment horizontal="center"/>
    </xf>
    <xf numFmtId="2" fontId="0" fillId="0" borderId="4" xfId="0" applyNumberFormat="1" applyBorder="1" applyAlignment="1">
      <alignment horizontal="center"/>
    </xf>
    <xf numFmtId="2" fontId="0" fillId="0" borderId="0" xfId="0" applyNumberFormat="1" applyAlignment="1">
      <alignment horizontal="center"/>
    </xf>
    <xf numFmtId="2" fontId="0" fillId="0" borderId="33" xfId="0" applyNumberFormat="1" applyBorder="1" applyAlignment="1">
      <alignment horizontal="center"/>
    </xf>
    <xf numFmtId="0" fontId="0" fillId="0" borderId="30" xfId="0" applyBorder="1" applyAlignment="1">
      <alignment horizontal="center"/>
    </xf>
    <xf numFmtId="2" fontId="0" fillId="0" borderId="6" xfId="0" applyNumberFormat="1" applyBorder="1" applyAlignment="1">
      <alignment horizontal="center"/>
    </xf>
    <xf numFmtId="2" fontId="6" fillId="0" borderId="34" xfId="0" applyNumberFormat="1" applyFont="1" applyBorder="1" applyAlignment="1">
      <alignment horizontal="center"/>
    </xf>
    <xf numFmtId="0" fontId="6" fillId="11" borderId="5" xfId="0" applyFont="1" applyFill="1" applyBorder="1" applyAlignment="1">
      <alignment horizontal="center"/>
    </xf>
    <xf numFmtId="0" fontId="0" fillId="0" borderId="30" xfId="0" applyBorder="1"/>
    <xf numFmtId="0" fontId="0" fillId="0" borderId="33" xfId="0" applyBorder="1" applyAlignment="1">
      <alignment horizontal="center"/>
    </xf>
    <xf numFmtId="0" fontId="0" fillId="0" borderId="38" xfId="0" applyBorder="1"/>
    <xf numFmtId="0" fontId="0" fillId="0" borderId="34" xfId="0" applyBorder="1" applyAlignment="1">
      <alignment horizontal="center"/>
    </xf>
    <xf numFmtId="2" fontId="0" fillId="0" borderId="34" xfId="0" applyNumberFormat="1" applyBorder="1" applyAlignment="1">
      <alignment horizontal="center"/>
    </xf>
    <xf numFmtId="2" fontId="0" fillId="0" borderId="37" xfId="0" applyNumberFormat="1" applyBorder="1" applyAlignment="1">
      <alignment horizontal="center"/>
    </xf>
    <xf numFmtId="0" fontId="0" fillId="0" borderId="6" xfId="0" applyBorder="1"/>
    <xf numFmtId="0" fontId="0" fillId="0" borderId="4" xfId="0" applyBorder="1"/>
    <xf numFmtId="0" fontId="6" fillId="0" borderId="36" xfId="0" applyFont="1" applyBorder="1"/>
    <xf numFmtId="2" fontId="6" fillId="26" borderId="36" xfId="0" applyNumberFormat="1" applyFont="1" applyFill="1" applyBorder="1" applyAlignment="1">
      <alignment horizontal="center"/>
    </xf>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6" xfId="0" applyBorder="1"/>
    <xf numFmtId="0" fontId="0" fillId="0" borderId="57" xfId="0" applyBorder="1"/>
    <xf numFmtId="0" fontId="0" fillId="0" borderId="58" xfId="0" applyBorder="1"/>
    <xf numFmtId="166" fontId="10" fillId="0" borderId="0" xfId="1" quotePrefix="1" applyNumberFormat="1" applyFont="1"/>
    <xf numFmtId="0" fontId="0" fillId="0" borderId="52" xfId="0" applyBorder="1"/>
    <xf numFmtId="0" fontId="0" fillId="0" borderId="59" xfId="0" applyBorder="1"/>
    <xf numFmtId="0" fontId="6" fillId="13" borderId="11" xfId="0" applyFont="1" applyFill="1" applyBorder="1" applyAlignment="1">
      <alignment horizontal="center" vertical="center" wrapText="1"/>
    </xf>
    <xf numFmtId="0" fontId="6" fillId="13" borderId="31"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0" fillId="0" borderId="60" xfId="0" applyBorder="1"/>
    <xf numFmtId="166" fontId="10" fillId="25" borderId="0" xfId="1" applyNumberFormat="1" applyFont="1" applyFill="1"/>
    <xf numFmtId="0" fontId="6" fillId="13" borderId="19" xfId="0" applyFont="1" applyFill="1" applyBorder="1" applyAlignment="1">
      <alignment horizontal="center" vertical="center" wrapText="1"/>
    </xf>
    <xf numFmtId="0" fontId="6" fillId="13" borderId="29" xfId="0" applyFont="1" applyFill="1" applyBorder="1" applyAlignment="1">
      <alignment horizontal="center" vertical="center" wrapText="1"/>
    </xf>
    <xf numFmtId="0" fontId="6" fillId="13" borderId="26" xfId="0" applyFont="1" applyFill="1" applyBorder="1" applyAlignment="1">
      <alignment horizontal="center" vertical="center" wrapText="1"/>
    </xf>
    <xf numFmtId="166" fontId="10" fillId="0" borderId="1" xfId="1" applyNumberFormat="1" applyFont="1" applyBorder="1"/>
    <xf numFmtId="0" fontId="6" fillId="12" borderId="4" xfId="0" applyFont="1" applyFill="1" applyBorder="1" applyAlignment="1">
      <alignment horizontal="center" vertical="center" wrapText="1"/>
    </xf>
    <xf numFmtId="0" fontId="6" fillId="12" borderId="6" xfId="0" applyFont="1" applyFill="1" applyBorder="1" applyAlignment="1">
      <alignment horizontal="center" vertical="center" wrapText="1"/>
    </xf>
    <xf numFmtId="167" fontId="10" fillId="0" borderId="0" xfId="1" applyNumberFormat="1" applyFont="1" applyAlignment="1">
      <alignment horizontal="center"/>
    </xf>
    <xf numFmtId="164" fontId="10" fillId="0" borderId="4" xfId="1" applyFont="1" applyBorder="1" applyAlignment="1">
      <alignment horizontal="center"/>
    </xf>
    <xf numFmtId="168" fontId="10" fillId="0" borderId="4" xfId="1" applyNumberFormat="1" applyFont="1" applyBorder="1" applyAlignment="1">
      <alignment horizontal="center"/>
    </xf>
    <xf numFmtId="14" fontId="10" fillId="0" borderId="4" xfId="1" applyNumberFormat="1" applyFont="1" applyBorder="1" applyAlignment="1">
      <alignment horizontal="center"/>
    </xf>
    <xf numFmtId="167" fontId="10" fillId="0" borderId="4" xfId="1" applyNumberFormat="1" applyFont="1" applyBorder="1" applyAlignment="1">
      <alignment horizontal="center"/>
    </xf>
    <xf numFmtId="14" fontId="10" fillId="0" borderId="6" xfId="1" applyNumberFormat="1" applyFont="1" applyBorder="1" applyAlignment="1">
      <alignment horizontal="center"/>
    </xf>
    <xf numFmtId="0" fontId="13" fillId="0" borderId="61" xfId="0" applyFont="1" applyBorder="1" applyAlignment="1">
      <alignment horizontal="center" vertical="center" wrapText="1"/>
    </xf>
    <xf numFmtId="0" fontId="6" fillId="13" borderId="40" xfId="0" applyFont="1" applyFill="1" applyBorder="1" applyAlignment="1">
      <alignment horizontal="center" vertical="center" wrapText="1"/>
    </xf>
    <xf numFmtId="0" fontId="6" fillId="13" borderId="28" xfId="0" applyFont="1" applyFill="1" applyBorder="1" applyAlignment="1">
      <alignment horizontal="center" vertical="center" wrapText="1"/>
    </xf>
    <xf numFmtId="14" fontId="10" fillId="0" borderId="36" xfId="1" applyNumberFormat="1" applyFont="1" applyBorder="1" applyAlignment="1">
      <alignment horizontal="center"/>
    </xf>
    <xf numFmtId="14" fontId="6" fillId="0" borderId="39" xfId="1" applyNumberFormat="1" applyFont="1" applyBorder="1" applyAlignment="1">
      <alignment horizontal="center"/>
    </xf>
    <xf numFmtId="0" fontId="6" fillId="0" borderId="2" xfId="0" applyFont="1" applyBorder="1"/>
    <xf numFmtId="1" fontId="6" fillId="0" borderId="1" xfId="0" applyNumberFormat="1" applyFont="1" applyBorder="1" applyAlignment="1">
      <alignment horizontal="center"/>
    </xf>
    <xf numFmtId="14" fontId="6" fillId="0" borderId="1" xfId="0" applyNumberFormat="1" applyFont="1" applyBorder="1" applyAlignment="1">
      <alignment horizontal="center"/>
    </xf>
    <xf numFmtId="14" fontId="10" fillId="0" borderId="39" xfId="1" applyNumberFormat="1" applyFont="1" applyBorder="1" applyAlignment="1">
      <alignment horizontal="center"/>
    </xf>
    <xf numFmtId="164" fontId="0" fillId="0" borderId="0" xfId="0" applyNumberFormat="1"/>
    <xf numFmtId="164" fontId="10" fillId="0" borderId="30" xfId="1" applyFont="1" applyBorder="1" applyAlignment="1">
      <alignment horizontal="center"/>
    </xf>
    <xf numFmtId="0" fontId="13" fillId="0" borderId="62" xfId="0" applyFont="1" applyBorder="1" applyAlignment="1">
      <alignment horizontal="center" vertical="center" wrapText="1"/>
    </xf>
    <xf numFmtId="0" fontId="0" fillId="0" borderId="0" xfId="0" quotePrefix="1"/>
    <xf numFmtId="167" fontId="10" fillId="0" borderId="0" xfId="1" applyNumberFormat="1" applyFont="1"/>
    <xf numFmtId="167" fontId="0" fillId="0" borderId="0" xfId="0" applyNumberFormat="1"/>
    <xf numFmtId="0" fontId="13" fillId="0" borderId="0" xfId="0" applyFont="1" applyAlignment="1">
      <alignment vertical="center" wrapText="1"/>
    </xf>
    <xf numFmtId="0" fontId="14" fillId="0" borderId="1" xfId="0" applyFont="1" applyBorder="1" applyAlignment="1">
      <alignment vertical="center"/>
    </xf>
    <xf numFmtId="167" fontId="14" fillId="0" borderId="1" xfId="1" applyNumberFormat="1" applyFont="1" applyBorder="1" applyAlignment="1">
      <alignment horizontal="center" vertical="center"/>
    </xf>
    <xf numFmtId="0" fontId="14" fillId="27" borderId="1" xfId="0" applyFont="1" applyFill="1" applyBorder="1" applyAlignment="1">
      <alignment horizontal="center" vertical="center"/>
    </xf>
    <xf numFmtId="0" fontId="11" fillId="0" borderId="0" xfId="0" applyFont="1" applyAlignment="1">
      <alignment vertical="center" wrapText="1"/>
    </xf>
    <xf numFmtId="0" fontId="12" fillId="0" borderId="0" xfId="0" applyFont="1" applyAlignment="1">
      <alignment horizontal="center" wrapText="1"/>
    </xf>
    <xf numFmtId="0" fontId="13" fillId="0" borderId="1" xfId="0" applyFont="1" applyBorder="1" applyAlignment="1">
      <alignment vertical="center"/>
    </xf>
    <xf numFmtId="167" fontId="13" fillId="9" borderId="1" xfId="1" applyNumberFormat="1" applyFont="1" applyFill="1" applyBorder="1" applyAlignment="1">
      <alignment horizontal="center" vertical="center"/>
    </xf>
    <xf numFmtId="0" fontId="13" fillId="27" borderId="1" xfId="0" applyFont="1" applyFill="1" applyBorder="1" applyAlignment="1">
      <alignment horizontal="center" vertical="center"/>
    </xf>
    <xf numFmtId="0" fontId="12" fillId="0" borderId="0" xfId="0" applyFont="1" applyAlignment="1">
      <alignment wrapText="1"/>
    </xf>
    <xf numFmtId="0" fontId="11" fillId="0" borderId="0" xfId="0" applyFont="1" applyAlignment="1">
      <alignment horizontal="center" vertical="center" wrapText="1"/>
    </xf>
    <xf numFmtId="167" fontId="14" fillId="10" borderId="1" xfId="1" applyNumberFormat="1" applyFont="1" applyFill="1" applyBorder="1" applyAlignment="1">
      <alignment horizontal="center" vertical="center"/>
    </xf>
    <xf numFmtId="1" fontId="0" fillId="0" borderId="0" xfId="0" applyNumberFormat="1"/>
    <xf numFmtId="0" fontId="5" fillId="0" borderId="7" xfId="0" applyFont="1" applyBorder="1" applyAlignment="1">
      <alignment vertical="center"/>
    </xf>
    <xf numFmtId="4" fontId="0" fillId="17" borderId="1" xfId="0" applyNumberFormat="1" applyFill="1" applyBorder="1"/>
    <xf numFmtId="0" fontId="6" fillId="11" borderId="4" xfId="0" applyFont="1" applyFill="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22" fillId="0" borderId="0" xfId="0" applyFont="1"/>
    <xf numFmtId="0" fontId="23" fillId="0" borderId="0" xfId="0" applyFont="1"/>
    <xf numFmtId="0" fontId="22" fillId="0" borderId="0" xfId="0" quotePrefix="1" applyFont="1"/>
    <xf numFmtId="0" fontId="14" fillId="0" borderId="8"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14" fillId="0" borderId="11" xfId="0" applyFont="1" applyBorder="1"/>
    <xf numFmtId="0" fontId="14" fillId="0" borderId="31" xfId="0" applyFont="1" applyBorder="1"/>
    <xf numFmtId="0" fontId="7" fillId="0" borderId="6" xfId="2" applyBorder="1" applyAlignment="1">
      <alignment horizontal="center"/>
    </xf>
    <xf numFmtId="0" fontId="7" fillId="0" borderId="14" xfId="2" applyBorder="1" applyAlignment="1">
      <alignment horizontal="center"/>
    </xf>
    <xf numFmtId="0" fontId="24" fillId="25" borderId="15" xfId="0" applyFont="1" applyFill="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13" xfId="0" applyFont="1" applyBorder="1"/>
    <xf numFmtId="0" fontId="22" fillId="0" borderId="18" xfId="0" applyFont="1" applyBorder="1" applyAlignment="1">
      <alignment horizontal="center"/>
    </xf>
    <xf numFmtId="0" fontId="22" fillId="0" borderId="19" xfId="0" applyFont="1" applyBorder="1"/>
    <xf numFmtId="0" fontId="22" fillId="0" borderId="20" xfId="0" applyFont="1" applyBorder="1" applyAlignment="1">
      <alignment horizontal="center"/>
    </xf>
    <xf numFmtId="0" fontId="24" fillId="25" borderId="14" xfId="0" applyFont="1" applyFill="1" applyBorder="1" applyAlignment="1">
      <alignment horizontal="center" vertical="center"/>
    </xf>
    <xf numFmtId="49" fontId="22" fillId="25" borderId="0" xfId="0" applyNumberFormat="1" applyFont="1" applyFill="1"/>
    <xf numFmtId="0" fontId="7" fillId="0" borderId="27" xfId="2" applyBorder="1" applyAlignment="1">
      <alignment horizontal="center"/>
    </xf>
    <xf numFmtId="0" fontId="7" fillId="0" borderId="26" xfId="2" applyBorder="1" applyAlignment="1">
      <alignment horizontal="center"/>
    </xf>
    <xf numFmtId="0" fontId="24" fillId="25" borderId="28" xfId="0" applyFont="1" applyFill="1" applyBorder="1" applyAlignment="1">
      <alignment horizontal="center" vertical="center"/>
    </xf>
    <xf numFmtId="0" fontId="22" fillId="25" borderId="0" xfId="0" applyFont="1" applyFill="1"/>
    <xf numFmtId="0" fontId="7" fillId="0" borderId="30" xfId="2" applyBorder="1" applyAlignment="1">
      <alignment horizontal="center"/>
    </xf>
    <xf numFmtId="0" fontId="8" fillId="0" borderId="21" xfId="2" applyFont="1" applyBorder="1"/>
    <xf numFmtId="0" fontId="8" fillId="22" borderId="22" xfId="2" applyFont="1" applyFill="1" applyBorder="1" applyAlignment="1">
      <alignment horizontal="center"/>
    </xf>
    <xf numFmtId="0" fontId="8" fillId="0" borderId="23" xfId="2" applyFont="1" applyBorder="1"/>
    <xf numFmtId="0" fontId="8" fillId="0" borderId="25" xfId="2" applyFont="1" applyBorder="1"/>
    <xf numFmtId="0" fontId="8" fillId="0" borderId="24" xfId="2" applyFont="1" applyBorder="1"/>
    <xf numFmtId="0" fontId="8" fillId="22" borderId="22" xfId="2" quotePrefix="1" applyFont="1" applyFill="1" applyBorder="1" applyAlignment="1">
      <alignment horizontal="left"/>
    </xf>
    <xf numFmtId="0" fontId="9" fillId="28" borderId="1" xfId="0" applyFont="1" applyFill="1" applyBorder="1"/>
    <xf numFmtId="0" fontId="25" fillId="0" borderId="21" xfId="2" applyFont="1" applyBorder="1"/>
    <xf numFmtId="49" fontId="0" fillId="0" borderId="1" xfId="0" applyNumberFormat="1" applyBorder="1"/>
    <xf numFmtId="0" fontId="20" fillId="0" borderId="0" xfId="0" applyFont="1"/>
    <xf numFmtId="1" fontId="16" fillId="0" borderId="0" xfId="0" applyNumberFormat="1" applyFont="1"/>
    <xf numFmtId="4" fontId="0" fillId="2" borderId="1" xfId="0" applyNumberFormat="1" applyFill="1" applyBorder="1" applyAlignment="1">
      <alignment horizontal="left" vertical="center"/>
    </xf>
    <xf numFmtId="0" fontId="9" fillId="22" borderId="1" xfId="0" applyFont="1" applyFill="1" applyBorder="1" applyAlignment="1">
      <alignment horizontal="center" vertical="center" wrapText="1"/>
    </xf>
    <xf numFmtId="0" fontId="0" fillId="0" borderId="35" xfId="0" applyBorder="1" applyAlignment="1">
      <alignment horizontal="center"/>
    </xf>
    <xf numFmtId="2" fontId="0" fillId="0" borderId="35" xfId="0" applyNumberFormat="1" applyBorder="1" applyAlignment="1">
      <alignment horizontal="center"/>
    </xf>
    <xf numFmtId="2" fontId="0" fillId="0" borderId="41" xfId="0" applyNumberFormat="1" applyBorder="1" applyAlignment="1">
      <alignment horizontal="center"/>
    </xf>
    <xf numFmtId="0" fontId="6" fillId="11" borderId="2" xfId="0" applyFont="1" applyFill="1" applyBorder="1" applyAlignment="1">
      <alignment vertical="center" wrapText="1"/>
    </xf>
    <xf numFmtId="0" fontId="6" fillId="11" borderId="5" xfId="0" applyFont="1" applyFill="1" applyBorder="1" applyAlignment="1">
      <alignment vertical="center" wrapText="1"/>
    </xf>
    <xf numFmtId="0" fontId="6" fillId="11" borderId="3" xfId="0" applyFont="1" applyFill="1" applyBorder="1" applyAlignment="1">
      <alignment vertical="center" wrapText="1"/>
    </xf>
    <xf numFmtId="1" fontId="6" fillId="13" borderId="39" xfId="0" applyNumberFormat="1"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2" fontId="6" fillId="0" borderId="39" xfId="0" applyNumberFormat="1" applyFont="1" applyBorder="1" applyAlignment="1">
      <alignment horizontal="center" vertical="center" wrapText="1"/>
    </xf>
    <xf numFmtId="9" fontId="9" fillId="22" borderId="1" xfId="0" applyNumberFormat="1" applyFont="1" applyFill="1" applyBorder="1" applyAlignment="1">
      <alignment horizontal="center" vertical="center" wrapText="1"/>
    </xf>
    <xf numFmtId="0" fontId="26" fillId="0" borderId="0" xfId="0" applyFont="1"/>
    <xf numFmtId="0" fontId="27" fillId="24" borderId="0" xfId="0" applyFont="1" applyFill="1" applyAlignment="1">
      <alignment vertical="center"/>
    </xf>
    <xf numFmtId="0" fontId="27" fillId="0" borderId="0" xfId="0" applyFont="1" applyAlignment="1">
      <alignment vertical="center"/>
    </xf>
    <xf numFmtId="0" fontId="28" fillId="22" borderId="0" xfId="0" applyFont="1" applyFill="1" applyAlignment="1">
      <alignment horizontal="left" vertical="center"/>
    </xf>
    <xf numFmtId="0" fontId="29" fillId="0" borderId="0" xfId="0" applyFont="1" applyAlignment="1">
      <alignment vertical="center" wrapText="1"/>
    </xf>
    <xf numFmtId="0" fontId="29" fillId="0" borderId="0" xfId="0" applyFont="1" applyAlignment="1">
      <alignment horizontal="left" vertical="top" wrapText="1"/>
    </xf>
    <xf numFmtId="0" fontId="31" fillId="4" borderId="0" xfId="0" applyFont="1" applyFill="1"/>
    <xf numFmtId="0" fontId="29" fillId="0" borderId="0" xfId="0" applyFont="1" applyAlignment="1">
      <alignment horizontal="left" vertical="center" wrapText="1"/>
    </xf>
    <xf numFmtId="0" fontId="26" fillId="0" borderId="0" xfId="0" applyFont="1" applyAlignment="1">
      <alignment horizontal="left" vertical="center"/>
    </xf>
    <xf numFmtId="0" fontId="32" fillId="0" borderId="0" xfId="0" applyFont="1" applyAlignment="1">
      <alignment horizontal="left" vertical="center" wrapText="1"/>
    </xf>
    <xf numFmtId="0" fontId="35" fillId="0" borderId="0" xfId="4" applyNumberFormat="1" applyFont="1" applyAlignment="1">
      <alignment horizontal="left" vertical="center" wrapText="1"/>
    </xf>
    <xf numFmtId="0" fontId="37" fillId="0" borderId="0" xfId="0" applyFont="1" applyAlignment="1">
      <alignment horizontal="left" vertical="center" wrapText="1"/>
    </xf>
    <xf numFmtId="0" fontId="39" fillId="4" borderId="0" xfId="0" applyFont="1" applyFill="1" applyAlignment="1">
      <alignment horizontal="left" vertical="center" wrapText="1"/>
    </xf>
    <xf numFmtId="0" fontId="40" fillId="4" borderId="1" xfId="0" applyFont="1" applyFill="1" applyBorder="1" applyAlignment="1">
      <alignment vertical="center"/>
    </xf>
    <xf numFmtId="0" fontId="41" fillId="0" borderId="1" xfId="0" applyFont="1" applyBorder="1" applyAlignment="1">
      <alignment horizontal="center" vertical="center" wrapText="1"/>
    </xf>
    <xf numFmtId="0" fontId="42" fillId="0" borderId="0" xfId="0" applyFont="1"/>
    <xf numFmtId="0" fontId="26" fillId="0" borderId="0" xfId="0" applyFont="1" applyAlignment="1">
      <alignment horizontal="left" vertical="top" wrapText="1"/>
    </xf>
    <xf numFmtId="0" fontId="26" fillId="2" borderId="1" xfId="0" applyFont="1" applyFill="1" applyBorder="1" applyAlignment="1">
      <alignment horizontal="left" vertical="center"/>
    </xf>
    <xf numFmtId="0" fontId="26" fillId="0" borderId="1" xfId="0" applyFont="1" applyBorder="1" applyAlignment="1" applyProtection="1">
      <alignment horizontal="left" vertical="center"/>
      <protection locked="0"/>
    </xf>
    <xf numFmtId="0" fontId="26" fillId="2" borderId="1" xfId="0" applyFont="1" applyFill="1" applyBorder="1" applyAlignment="1">
      <alignment horizontal="left" vertical="center" wrapText="1"/>
    </xf>
    <xf numFmtId="0" fontId="26" fillId="0" borderId="0" xfId="0" applyFont="1" applyAlignment="1">
      <alignment vertical="center"/>
    </xf>
    <xf numFmtId="0" fontId="26" fillId="0" borderId="4" xfId="0" applyFont="1" applyBorder="1" applyAlignment="1" applyProtection="1">
      <alignment horizontal="left" vertical="center"/>
      <protection locked="0"/>
    </xf>
    <xf numFmtId="49" fontId="26" fillId="0" borderId="1" xfId="0" applyNumberFormat="1" applyFont="1" applyBorder="1" applyAlignment="1" applyProtection="1">
      <alignment horizontal="left" vertical="center"/>
      <protection locked="0"/>
    </xf>
    <xf numFmtId="0" fontId="40" fillId="4" borderId="0" xfId="0" applyFont="1" applyFill="1" applyAlignment="1">
      <alignment vertical="center"/>
    </xf>
    <xf numFmtId="0" fontId="26" fillId="7" borderId="1" xfId="0" applyFont="1" applyFill="1" applyBorder="1"/>
    <xf numFmtId="0" fontId="45" fillId="4" borderId="0" xfId="0" applyFont="1" applyFill="1" applyAlignment="1">
      <alignment vertical="center"/>
    </xf>
    <xf numFmtId="0" fontId="45" fillId="0" borderId="0" xfId="0" applyFont="1" applyAlignment="1">
      <alignment vertical="center"/>
    </xf>
    <xf numFmtId="0" fontId="45" fillId="4" borderId="4" xfId="0" applyFont="1" applyFill="1" applyBorder="1" applyAlignment="1">
      <alignment horizontal="left" vertical="center" wrapText="1"/>
    </xf>
    <xf numFmtId="0" fontId="45" fillId="4" borderId="32" xfId="0" applyFont="1" applyFill="1" applyBorder="1" applyAlignment="1">
      <alignment horizontal="left" vertical="center" wrapText="1"/>
    </xf>
    <xf numFmtId="0" fontId="46" fillId="3"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47" fillId="3" borderId="2" xfId="0" applyFont="1" applyFill="1" applyBorder="1" applyAlignment="1">
      <alignment horizontal="left" vertical="center" wrapText="1"/>
    </xf>
    <xf numFmtId="0" fontId="46" fillId="5" borderId="1" xfId="0" applyFont="1" applyFill="1" applyBorder="1" applyAlignment="1">
      <alignment horizontal="center" vertical="center" wrapText="1"/>
    </xf>
    <xf numFmtId="15" fontId="46" fillId="5" borderId="2" xfId="0" applyNumberFormat="1" applyFont="1" applyFill="1" applyBorder="1" applyAlignment="1">
      <alignment horizontal="center" vertical="center" wrapText="1"/>
    </xf>
    <xf numFmtId="0" fontId="46" fillId="5" borderId="2" xfId="0" applyFont="1" applyFill="1" applyBorder="1" applyAlignment="1">
      <alignment horizontal="center" vertical="center" wrapText="1"/>
    </xf>
    <xf numFmtId="4" fontId="46" fillId="5" borderId="1" xfId="0" applyNumberFormat="1" applyFont="1" applyFill="1" applyBorder="1" applyAlignment="1">
      <alignment horizontal="center" vertical="center" wrapText="1"/>
    </xf>
    <xf numFmtId="4" fontId="46" fillId="14" borderId="1" xfId="0" applyNumberFormat="1" applyFont="1" applyFill="1" applyBorder="1" applyAlignment="1">
      <alignment horizontal="center" vertical="center" wrapText="1"/>
    </xf>
    <xf numFmtId="0" fontId="46" fillId="6" borderId="1" xfId="0" applyFont="1" applyFill="1" applyBorder="1" applyAlignment="1">
      <alignment horizontal="center" vertical="center" wrapText="1"/>
    </xf>
    <xf numFmtId="165" fontId="46" fillId="5" borderId="1" xfId="1" applyNumberFormat="1" applyFont="1" applyFill="1" applyBorder="1" applyAlignment="1" applyProtection="1">
      <alignment horizontal="center" vertical="center" wrapText="1"/>
    </xf>
    <xf numFmtId="0" fontId="46" fillId="5" borderId="1" xfId="0" applyFont="1" applyFill="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pplyProtection="1">
      <alignment horizontal="center" vertical="center" wrapText="1"/>
      <protection locked="0"/>
    </xf>
    <xf numFmtId="4" fontId="26" fillId="0" borderId="1" xfId="0" applyNumberFormat="1" applyFont="1" applyBorder="1" applyAlignment="1" applyProtection="1">
      <alignment horizontal="center" vertical="center" wrapText="1"/>
      <protection locked="0"/>
    </xf>
    <xf numFmtId="4" fontId="26" fillId="14" borderId="1" xfId="0" applyNumberFormat="1" applyFont="1" applyFill="1" applyBorder="1" applyAlignment="1">
      <alignment horizontal="center" vertical="center" wrapText="1"/>
    </xf>
    <xf numFmtId="4" fontId="26" fillId="8" borderId="1" xfId="0" applyNumberFormat="1" applyFont="1" applyFill="1" applyBorder="1" applyAlignment="1">
      <alignment horizontal="center" vertical="center" wrapText="1"/>
    </xf>
    <xf numFmtId="4" fontId="26" fillId="0" borderId="1" xfId="0" applyNumberFormat="1" applyFont="1" applyBorder="1" applyAlignment="1">
      <alignment horizontal="left" vertical="center" wrapText="1"/>
    </xf>
    <xf numFmtId="0" fontId="26" fillId="0" borderId="1" xfId="0" applyFont="1" applyBorder="1" applyProtection="1">
      <protection locked="0"/>
    </xf>
    <xf numFmtId="4" fontId="26" fillId="0" borderId="0" xfId="0" applyNumberFormat="1" applyFont="1" applyAlignment="1">
      <alignment vertical="center" wrapText="1"/>
    </xf>
    <xf numFmtId="0" fontId="26" fillId="0" borderId="0" xfId="0" applyFont="1" applyAlignment="1">
      <alignment vertical="center" wrapText="1"/>
    </xf>
    <xf numFmtId="0" fontId="26" fillId="0" borderId="0" xfId="0" applyFont="1" applyAlignment="1">
      <alignment wrapText="1"/>
    </xf>
    <xf numFmtId="15" fontId="26"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wrapText="1"/>
      <protection locked="0"/>
    </xf>
    <xf numFmtId="0" fontId="26" fillId="29" borderId="1" xfId="0" applyFont="1" applyFill="1" applyBorder="1" applyAlignment="1">
      <alignment horizontal="left" vertical="center"/>
    </xf>
    <xf numFmtId="0" fontId="26" fillId="29" borderId="1" xfId="0" applyFont="1" applyFill="1" applyBorder="1" applyAlignment="1">
      <alignment horizontal="left" vertical="center" wrapText="1"/>
    </xf>
    <xf numFmtId="0" fontId="26" fillId="29" borderId="4" xfId="0" applyFont="1" applyFill="1" applyBorder="1" applyAlignment="1">
      <alignment horizontal="left" vertical="center"/>
    </xf>
    <xf numFmtId="0" fontId="40" fillId="4" borderId="1" xfId="0" applyFont="1" applyFill="1" applyBorder="1" applyAlignment="1">
      <alignment horizontal="left" vertical="center"/>
    </xf>
    <xf numFmtId="0" fontId="44" fillId="4" borderId="0" xfId="0" applyFont="1" applyFill="1" applyAlignment="1">
      <alignment horizontal="left" vertical="top" wrapText="1"/>
    </xf>
    <xf numFmtId="0" fontId="45" fillId="4" borderId="2" xfId="0" applyFont="1" applyFill="1" applyBorder="1" applyAlignment="1">
      <alignment horizontal="left" vertical="center" wrapText="1"/>
    </xf>
    <xf numFmtId="0" fontId="45" fillId="4" borderId="5" xfId="0" applyFont="1" applyFill="1" applyBorder="1" applyAlignment="1">
      <alignment horizontal="left" vertical="center" wrapText="1"/>
    </xf>
    <xf numFmtId="0" fontId="45" fillId="4" borderId="3" xfId="0" applyFont="1" applyFill="1" applyBorder="1" applyAlignment="1">
      <alignment horizontal="left" vertical="center" wrapText="1"/>
    </xf>
    <xf numFmtId="0" fontId="27" fillId="4" borderId="0" xfId="0" applyFont="1" applyFill="1" applyAlignment="1">
      <alignment horizontal="left" vertical="center" wrapText="1"/>
    </xf>
    <xf numFmtId="0" fontId="3" fillId="4" borderId="0" xfId="0" applyFont="1" applyFill="1" applyAlignment="1">
      <alignment horizontal="center" vertical="center" wrapText="1"/>
    </xf>
    <xf numFmtId="0" fontId="0" fillId="0" borderId="2"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3" fillId="4" borderId="0" xfId="0" applyFont="1" applyFill="1" applyAlignment="1">
      <alignment horizontal="left" vertical="top" wrapText="1"/>
    </xf>
    <xf numFmtId="0" fontId="18" fillId="4" borderId="0" xfId="0" applyFont="1" applyFill="1" applyAlignment="1">
      <alignment horizontal="left" vertical="center" wrapText="1"/>
    </xf>
    <xf numFmtId="0" fontId="16" fillId="0" borderId="2" xfId="0" applyFont="1" applyBorder="1" applyAlignment="1">
      <alignment horizontal="left"/>
    </xf>
    <xf numFmtId="0" fontId="16" fillId="0" borderId="5" xfId="0" applyFont="1" applyBorder="1" applyAlignment="1">
      <alignment horizontal="left"/>
    </xf>
    <xf numFmtId="0" fontId="16" fillId="0" borderId="3" xfId="0" applyFont="1" applyBorder="1" applyAlignment="1">
      <alignment horizontal="left"/>
    </xf>
    <xf numFmtId="0" fontId="6" fillId="0" borderId="4" xfId="0" applyFont="1" applyBorder="1" applyAlignment="1">
      <alignment horizontal="center" vertical="center" wrapText="1"/>
    </xf>
    <xf numFmtId="0" fontId="6" fillId="0" borderId="36" xfId="0" applyFont="1" applyBorder="1" applyAlignment="1">
      <alignment horizontal="center" vertical="center" wrapText="1"/>
    </xf>
    <xf numFmtId="0" fontId="6" fillId="12" borderId="4"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6" xfId="0" applyBorder="1" applyAlignment="1">
      <alignment horizontal="center"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7" xfId="0" applyFont="1" applyBorder="1" applyAlignment="1">
      <alignment horizontal="center" vertical="center" wrapText="1"/>
    </xf>
    <xf numFmtId="0" fontId="6" fillId="12" borderId="36" xfId="0" applyFont="1" applyFill="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6" fillId="13" borderId="40" xfId="0" applyFont="1" applyFill="1" applyBorder="1" applyAlignment="1">
      <alignment horizontal="center" vertical="center" wrapText="1"/>
    </xf>
    <xf numFmtId="0" fontId="6" fillId="13" borderId="28"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cellXfs>
  <cellStyles count="5">
    <cellStyle name="Hyperlink" xfId="4" builtinId="8"/>
    <cellStyle name="Komma" xfId="1" builtinId="3"/>
    <cellStyle name="Normal 2" xfId="3" xr:uid="{00000000-0005-0000-0000-000003000000}"/>
    <cellStyle name="Normal 3" xfId="2" xr:uid="{00000000-0005-0000-0000-000004000000}"/>
    <cellStyle name="Standaard" xfId="0" builtinId="0"/>
  </cellStyles>
  <dxfs count="13">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theme="6"/>
      </font>
      <fill>
        <patternFill patternType="solid">
          <fgColor auto="1"/>
          <bgColor theme="6"/>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BF2F6"/>
      <color rgb="FF56B146"/>
      <color rgb="FF3D68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5220429</xdr:colOff>
      <xdr:row>65</xdr:row>
      <xdr:rowOff>5031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25450800"/>
          <a:ext cx="5220429" cy="3048425"/>
        </a:xfrm>
        <a:prstGeom prst="rect">
          <a:avLst/>
        </a:prstGeom>
      </xdr:spPr>
    </xdr:pic>
    <xdr:clientData/>
  </xdr:twoCellAnchor>
  <xdr:twoCellAnchor editAs="oneCell">
    <xdr:from>
      <xdr:col>1</xdr:col>
      <xdr:colOff>0</xdr:colOff>
      <xdr:row>68</xdr:row>
      <xdr:rowOff>0</xdr:rowOff>
    </xdr:from>
    <xdr:to>
      <xdr:col>3</xdr:col>
      <xdr:colOff>73493</xdr:colOff>
      <xdr:row>85</xdr:row>
      <xdr:rowOff>153641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3528000"/>
          <a:ext cx="7906853" cy="3038899"/>
        </a:xfrm>
        <a:prstGeom prst="rect">
          <a:avLst/>
        </a:prstGeom>
      </xdr:spPr>
    </xdr:pic>
    <xdr:clientData/>
  </xdr:twoCellAnchor>
  <xdr:twoCellAnchor editAs="oneCell">
    <xdr:from>
      <xdr:col>1</xdr:col>
      <xdr:colOff>0</xdr:colOff>
      <xdr:row>88</xdr:row>
      <xdr:rowOff>0</xdr:rowOff>
    </xdr:from>
    <xdr:to>
      <xdr:col>3</xdr:col>
      <xdr:colOff>179608</xdr:colOff>
      <xdr:row>105</xdr:row>
      <xdr:rowOff>130287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9600" y="38245774"/>
          <a:ext cx="8011643" cy="3057952"/>
        </a:xfrm>
        <a:prstGeom prst="rect">
          <a:avLst/>
        </a:prstGeom>
      </xdr:spPr>
    </xdr:pic>
    <xdr:clientData/>
  </xdr:twoCellAnchor>
  <xdr:twoCellAnchor editAs="oneCell">
    <xdr:from>
      <xdr:col>2</xdr:col>
      <xdr:colOff>82924</xdr:colOff>
      <xdr:row>1</xdr:row>
      <xdr:rowOff>136358</xdr:rowOff>
    </xdr:from>
    <xdr:to>
      <xdr:col>3</xdr:col>
      <xdr:colOff>619461</xdr:colOff>
      <xdr:row>1</xdr:row>
      <xdr:rowOff>636494</xdr:rowOff>
    </xdr:to>
    <xdr:pic>
      <xdr:nvPicPr>
        <xdr:cNvPr id="8" name="Picture 7" descr="Image result for breeam logo">
          <a:extLst>
            <a:ext uri="{FF2B5EF4-FFF2-40B4-BE49-F238E27FC236}">
              <a16:creationId xmlns:a16="http://schemas.microsoft.com/office/drawing/2014/main" id="{4292207D-9E96-40B1-827D-B9AD7142933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02924" y="562182"/>
          <a:ext cx="1141655" cy="500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120015</xdr:colOff>
      <xdr:row>1</xdr:row>
      <xdr:rowOff>106680</xdr:rowOff>
    </xdr:from>
    <xdr:to>
      <xdr:col>3</xdr:col>
      <xdr:colOff>1270635</xdr:colOff>
      <xdr:row>1</xdr:row>
      <xdr:rowOff>606816</xdr:rowOff>
    </xdr:to>
    <xdr:pic>
      <xdr:nvPicPr>
        <xdr:cNvPr id="4" name="Picture 3" descr="Image result for breeam logo">
          <a:extLst>
            <a:ext uri="{FF2B5EF4-FFF2-40B4-BE49-F238E27FC236}">
              <a16:creationId xmlns:a16="http://schemas.microsoft.com/office/drawing/2014/main" id="{43B123C5-8AB6-4D95-B422-22746450D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73215" y="535305"/>
          <a:ext cx="1150620" cy="500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121921</xdr:colOff>
      <xdr:row>1</xdr:row>
      <xdr:rowOff>103958</xdr:rowOff>
    </xdr:from>
    <xdr:to>
      <xdr:col>8</xdr:col>
      <xdr:colOff>1272541</xdr:colOff>
      <xdr:row>1</xdr:row>
      <xdr:rowOff>604094</xdr:rowOff>
    </xdr:to>
    <xdr:pic>
      <xdr:nvPicPr>
        <xdr:cNvPr id="3" name="Picture 2" descr="Image result for breeam logo">
          <a:extLst>
            <a:ext uri="{FF2B5EF4-FFF2-40B4-BE49-F238E27FC236}">
              <a16:creationId xmlns:a16="http://schemas.microsoft.com/office/drawing/2014/main" id="{31F5DC6E-A555-4DDC-8636-DE90AF82A0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35242" y="240029"/>
          <a:ext cx="1150620" cy="5001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43927</xdr:colOff>
      <xdr:row>1</xdr:row>
      <xdr:rowOff>51546</xdr:rowOff>
    </xdr:from>
    <xdr:to>
      <xdr:col>3</xdr:col>
      <xdr:colOff>1575283</xdr:colOff>
      <xdr:row>1</xdr:row>
      <xdr:rowOff>717175</xdr:rowOff>
    </xdr:to>
    <xdr:pic>
      <xdr:nvPicPr>
        <xdr:cNvPr id="3" name="Picture 2" descr="Image result for breeam logo">
          <a:extLst>
            <a:ext uri="{FF2B5EF4-FFF2-40B4-BE49-F238E27FC236}">
              <a16:creationId xmlns:a16="http://schemas.microsoft.com/office/drawing/2014/main" id="{B6B925A4-C6D8-490A-8343-B6854FF227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3427" y="477370"/>
          <a:ext cx="1531356" cy="6656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68580</xdr:colOff>
      <xdr:row>1</xdr:row>
      <xdr:rowOff>141195</xdr:rowOff>
    </xdr:from>
    <xdr:to>
      <xdr:col>11</xdr:col>
      <xdr:colOff>1311088</xdr:colOff>
      <xdr:row>1</xdr:row>
      <xdr:rowOff>685513</xdr:rowOff>
    </xdr:to>
    <xdr:pic>
      <xdr:nvPicPr>
        <xdr:cNvPr id="3" name="Picture 2" descr="Image result for breeam logo">
          <a:extLst>
            <a:ext uri="{FF2B5EF4-FFF2-40B4-BE49-F238E27FC236}">
              <a16:creationId xmlns:a16="http://schemas.microsoft.com/office/drawing/2014/main" id="{49E362CE-6573-4F3F-9961-B300992FE9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0139" y="286871"/>
          <a:ext cx="1242508" cy="544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kb.breeam.com/knowledgebase/verification-of-consumption-data/" TargetMode="External"/><Relationship Id="rId1" Type="http://schemas.openxmlformats.org/officeDocument/2006/relationships/hyperlink" Target="https://kb.breeam.com/knowledgebase/assessor-comments-submitted-within-breeam-in-use-assessmen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7"/>
  <sheetViews>
    <sheetView showGridLines="0" topLeftCell="A3" zoomScaleNormal="100" workbookViewId="0">
      <selection activeCell="B6" sqref="B6"/>
    </sheetView>
  </sheetViews>
  <sheetFormatPr baseColWidth="10" defaultColWidth="0" defaultRowHeight="14" zeroHeight="1" x14ac:dyDescent="0.15"/>
  <cols>
    <col min="1" max="1" width="3.5" style="189" customWidth="1"/>
    <col min="2" max="2" width="105.33203125" style="189" customWidth="1"/>
    <col min="3" max="3" width="9.1640625" style="189" customWidth="1"/>
    <col min="4" max="4" width="10.1640625" style="189" customWidth="1"/>
    <col min="5" max="5" width="9.1640625" style="189" hidden="1" customWidth="1"/>
    <col min="6" max="6" width="5.5" style="189" hidden="1" customWidth="1"/>
    <col min="7" max="7" width="9.1640625" style="189" hidden="1" customWidth="1"/>
    <col min="8" max="10" width="0" style="189" hidden="1" customWidth="1"/>
    <col min="11" max="16384" width="9.1640625" style="189" hidden="1"/>
  </cols>
  <sheetData>
    <row r="1" spans="2:7" ht="34.25" customHeight="1" x14ac:dyDescent="0.15"/>
    <row r="2" spans="2:7" ht="60" customHeight="1" x14ac:dyDescent="0.15">
      <c r="B2" s="201" t="s">
        <v>0</v>
      </c>
      <c r="C2" s="190"/>
      <c r="D2" s="190"/>
      <c r="E2" s="190"/>
      <c r="F2" s="190"/>
      <c r="G2" s="191"/>
    </row>
    <row r="3" spans="2:7" x14ac:dyDescent="0.15"/>
    <row r="4" spans="2:7" ht="34.25" customHeight="1" x14ac:dyDescent="0.15">
      <c r="B4" s="192" t="s">
        <v>1</v>
      </c>
    </row>
    <row r="5" spans="2:7" x14ac:dyDescent="0.15"/>
    <row r="6" spans="2:7" ht="285" customHeight="1" x14ac:dyDescent="0.15">
      <c r="B6" s="193" t="s">
        <v>2</v>
      </c>
    </row>
    <row r="7" spans="2:7" x14ac:dyDescent="0.15"/>
    <row r="8" spans="2:7" x14ac:dyDescent="0.15"/>
    <row r="9" spans="2:7" ht="34.25" customHeight="1" x14ac:dyDescent="0.15">
      <c r="B9" s="192" t="s">
        <v>3</v>
      </c>
    </row>
    <row r="10" spans="2:7" x14ac:dyDescent="0.15"/>
    <row r="11" spans="2:7" ht="134" customHeight="1" x14ac:dyDescent="0.15">
      <c r="B11" s="194" t="s">
        <v>4</v>
      </c>
    </row>
    <row r="13" spans="2:7" x14ac:dyDescent="0.15"/>
    <row r="14" spans="2:7" ht="34.25" customHeight="1" x14ac:dyDescent="0.15">
      <c r="B14" s="192" t="s">
        <v>5</v>
      </c>
    </row>
    <row r="15" spans="2:7" x14ac:dyDescent="0.15"/>
    <row r="16" spans="2:7" ht="205.25" customHeight="1" x14ac:dyDescent="0.15">
      <c r="B16" s="196" t="s">
        <v>6</v>
      </c>
    </row>
    <row r="18" spans="2:2" x14ac:dyDescent="0.15"/>
    <row r="19" spans="2:2" ht="34.25" customHeight="1" x14ac:dyDescent="0.15">
      <c r="B19" s="192" t="s">
        <v>7</v>
      </c>
    </row>
    <row r="20" spans="2:2" x14ac:dyDescent="0.15"/>
    <row r="21" spans="2:2" ht="18" x14ac:dyDescent="0.2">
      <c r="B21" s="195" t="s">
        <v>8</v>
      </c>
    </row>
    <row r="22" spans="2:2" x14ac:dyDescent="0.15"/>
    <row r="23" spans="2:2" ht="48" customHeight="1" x14ac:dyDescent="0.15">
      <c r="B23" s="196" t="s">
        <v>9</v>
      </c>
    </row>
    <row r="25" spans="2:2" x14ac:dyDescent="0.15"/>
    <row r="26" spans="2:2" ht="18" x14ac:dyDescent="0.2">
      <c r="B26" s="195" t="s">
        <v>10</v>
      </c>
    </row>
    <row r="27" spans="2:2" x14ac:dyDescent="0.15"/>
    <row r="28" spans="2:2" ht="94.5" customHeight="1" x14ac:dyDescent="0.15">
      <c r="B28" s="196" t="s">
        <v>11</v>
      </c>
    </row>
    <row r="29" spans="2:2" x14ac:dyDescent="0.15"/>
    <row r="30" spans="2:2" ht="68" x14ac:dyDescent="0.15">
      <c r="B30" s="196" t="s">
        <v>12</v>
      </c>
    </row>
    <row r="31" spans="2:2" x14ac:dyDescent="0.15">
      <c r="B31" s="197"/>
    </row>
    <row r="32" spans="2:2" ht="55.5" customHeight="1" x14ac:dyDescent="0.15">
      <c r="B32" s="196" t="s">
        <v>13</v>
      </c>
    </row>
    <row r="33" spans="2:2" x14ac:dyDescent="0.15">
      <c r="B33" s="197"/>
    </row>
    <row r="34" spans="2:2" ht="34" x14ac:dyDescent="0.15">
      <c r="B34" s="196" t="s">
        <v>14</v>
      </c>
    </row>
    <row r="35" spans="2:2" x14ac:dyDescent="0.15">
      <c r="B35" s="197"/>
    </row>
    <row r="36" spans="2:2" ht="35.25" customHeight="1" x14ac:dyDescent="0.15">
      <c r="B36" s="196" t="s">
        <v>15</v>
      </c>
    </row>
    <row r="37" spans="2:2" x14ac:dyDescent="0.15">
      <c r="B37" s="197"/>
    </row>
    <row r="38" spans="2:2" ht="51" x14ac:dyDescent="0.15">
      <c r="B38" s="196" t="s">
        <v>16</v>
      </c>
    </row>
    <row r="39" spans="2:2" x14ac:dyDescent="0.15">
      <c r="B39" s="197"/>
    </row>
    <row r="40" spans="2:2" ht="51" x14ac:dyDescent="0.15">
      <c r="B40" s="196" t="s">
        <v>17</v>
      </c>
    </row>
    <row r="41" spans="2:2" x14ac:dyDescent="0.15">
      <c r="B41" s="197"/>
    </row>
    <row r="42" spans="2:2" s="197" customFormat="1" ht="209.5" customHeight="1" x14ac:dyDescent="0.2">
      <c r="B42" s="196" t="s">
        <v>18</v>
      </c>
    </row>
    <row r="43" spans="2:2" x14ac:dyDescent="0.15">
      <c r="B43" s="197"/>
    </row>
    <row r="44" spans="2:2" ht="159" customHeight="1" x14ac:dyDescent="0.15">
      <c r="B44" s="196" t="s">
        <v>19</v>
      </c>
    </row>
    <row r="45" spans="2:2" x14ac:dyDescent="0.15">
      <c r="B45" s="197"/>
    </row>
    <row r="46" spans="2:2" ht="142.5" customHeight="1" x14ac:dyDescent="0.15">
      <c r="B46" s="196" t="s">
        <v>20</v>
      </c>
    </row>
    <row r="47" spans="2:2" x14ac:dyDescent="0.15">
      <c r="B47" s="197"/>
    </row>
    <row r="48" spans="2:2"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spans="2:2" x14ac:dyDescent="0.15"/>
    <row r="66" spans="2:2" ht="108.75" customHeight="1" x14ac:dyDescent="0.15">
      <c r="B66" s="196" t="s">
        <v>21</v>
      </c>
    </row>
    <row r="67" spans="2:2" x14ac:dyDescent="0.15"/>
    <row r="68" spans="2:2" ht="279.75" customHeight="1" x14ac:dyDescent="0.15">
      <c r="B68" s="196" t="s">
        <v>22</v>
      </c>
    </row>
    <row r="69" spans="2:2" x14ac:dyDescent="0.15"/>
    <row r="70" spans="2:2" x14ac:dyDescent="0.15"/>
    <row r="71" spans="2:2" x14ac:dyDescent="0.15"/>
    <row r="72" spans="2:2" x14ac:dyDescent="0.15"/>
    <row r="73" spans="2:2" x14ac:dyDescent="0.15"/>
    <row r="74" spans="2:2" x14ac:dyDescent="0.15"/>
    <row r="75" spans="2:2" x14ac:dyDescent="0.15"/>
    <row r="76" spans="2:2" x14ac:dyDescent="0.15"/>
    <row r="77" spans="2:2" x14ac:dyDescent="0.15"/>
    <row r="78" spans="2:2" x14ac:dyDescent="0.15"/>
    <row r="79" spans="2:2" x14ac:dyDescent="0.15"/>
    <row r="80" spans="2:2" x14ac:dyDescent="0.15"/>
    <row r="81" spans="2:2" x14ac:dyDescent="0.15"/>
    <row r="82" spans="2:2" x14ac:dyDescent="0.15"/>
    <row r="83" spans="2:2" x14ac:dyDescent="0.15"/>
    <row r="84" spans="2:2" x14ac:dyDescent="0.15"/>
    <row r="85" spans="2:2" x14ac:dyDescent="0.15"/>
    <row r="86" spans="2:2" x14ac:dyDescent="0.15"/>
    <row r="87" spans="2:2" ht="102" x14ac:dyDescent="0.15">
      <c r="B87" s="196" t="s">
        <v>23</v>
      </c>
    </row>
    <row r="88" spans="2:2" x14ac:dyDescent="0.15"/>
    <row r="89" spans="2:2" x14ac:dyDescent="0.15"/>
    <row r="90" spans="2:2" x14ac:dyDescent="0.15"/>
    <row r="91" spans="2:2" x14ac:dyDescent="0.15"/>
    <row r="92" spans="2:2" x14ac:dyDescent="0.15"/>
    <row r="93" spans="2:2" x14ac:dyDescent="0.15"/>
    <row r="94" spans="2:2" x14ac:dyDescent="0.15"/>
    <row r="95" spans="2:2" x14ac:dyDescent="0.15"/>
    <row r="96" spans="2:2" x14ac:dyDescent="0.15"/>
    <row r="97" spans="2:2" x14ac:dyDescent="0.15"/>
    <row r="98" spans="2:2" x14ac:dyDescent="0.15"/>
    <row r="99" spans="2:2" x14ac:dyDescent="0.15"/>
    <row r="100" spans="2:2" x14ac:dyDescent="0.15"/>
    <row r="101" spans="2:2" x14ac:dyDescent="0.15"/>
    <row r="102" spans="2:2" x14ac:dyDescent="0.15"/>
    <row r="103" spans="2:2" x14ac:dyDescent="0.15"/>
    <row r="104" spans="2:2" x14ac:dyDescent="0.15"/>
    <row r="105" spans="2:2" x14ac:dyDescent="0.15"/>
    <row r="106" spans="2:2" x14ac:dyDescent="0.15"/>
    <row r="107" spans="2:2" ht="136" x14ac:dyDescent="0.15">
      <c r="B107" s="196" t="s">
        <v>24</v>
      </c>
    </row>
    <row r="108" spans="2:2" ht="16" x14ac:dyDescent="0.15">
      <c r="B108" s="196"/>
    </row>
    <row r="109" spans="2:2" ht="34" x14ac:dyDescent="0.15">
      <c r="B109" s="196" t="s">
        <v>25</v>
      </c>
    </row>
    <row r="110" spans="2:2" ht="16" x14ac:dyDescent="0.15">
      <c r="B110" s="196"/>
    </row>
    <row r="111" spans="2:2" ht="153" x14ac:dyDescent="0.15">
      <c r="B111" s="198" t="s">
        <v>26</v>
      </c>
    </row>
    <row r="112" spans="2:2" ht="16" x14ac:dyDescent="0.15">
      <c r="B112" s="198"/>
    </row>
    <row r="113" spans="2:2" ht="17" x14ac:dyDescent="0.15">
      <c r="B113" s="199" t="s">
        <v>27</v>
      </c>
    </row>
    <row r="114" spans="2:2" ht="17" x14ac:dyDescent="0.15">
      <c r="B114" s="199" t="s">
        <v>28</v>
      </c>
    </row>
    <row r="115" spans="2:2" x14ac:dyDescent="0.15"/>
    <row r="116" spans="2:2" x14ac:dyDescent="0.15"/>
    <row r="117" spans="2:2" ht="18" x14ac:dyDescent="0.2">
      <c r="B117" s="195" t="s">
        <v>29</v>
      </c>
    </row>
    <row r="118" spans="2:2" x14ac:dyDescent="0.15"/>
    <row r="119" spans="2:2" ht="34" x14ac:dyDescent="0.15">
      <c r="B119" s="196" t="s">
        <v>30</v>
      </c>
    </row>
    <row r="120" spans="2:2" ht="16" x14ac:dyDescent="0.15">
      <c r="B120" s="196"/>
    </row>
    <row r="121" spans="2:2" ht="68" x14ac:dyDescent="0.15">
      <c r="B121" s="196" t="s">
        <v>31</v>
      </c>
    </row>
    <row r="122" spans="2:2" ht="16" x14ac:dyDescent="0.15">
      <c r="B122" s="196"/>
    </row>
    <row r="123" spans="2:2" ht="338.25" customHeight="1" x14ac:dyDescent="0.15">
      <c r="B123" s="196" t="s">
        <v>32</v>
      </c>
    </row>
    <row r="124" spans="2:2" x14ac:dyDescent="0.15"/>
    <row r="125" spans="2:2" x14ac:dyDescent="0.15"/>
    <row r="126" spans="2:2" ht="18" x14ac:dyDescent="0.2">
      <c r="B126" s="195" t="s">
        <v>33</v>
      </c>
    </row>
    <row r="127" spans="2:2" x14ac:dyDescent="0.15"/>
    <row r="128" spans="2:2" ht="17" x14ac:dyDescent="0.15">
      <c r="B128" s="196" t="s">
        <v>34</v>
      </c>
    </row>
    <row r="130" spans="2:2" s="197" customFormat="1" ht="35" customHeight="1" x14ac:dyDescent="0.2">
      <c r="B130" s="196" t="s">
        <v>35</v>
      </c>
    </row>
    <row r="131" spans="2:2" s="197" customFormat="1" ht="35" customHeight="1" x14ac:dyDescent="0.2">
      <c r="B131" s="196" t="s">
        <v>36</v>
      </c>
    </row>
    <row r="132" spans="2:2" s="197" customFormat="1" ht="35" customHeight="1" x14ac:dyDescent="0.2">
      <c r="B132" s="196" t="s">
        <v>37</v>
      </c>
    </row>
    <row r="133" spans="2:2" s="197" customFormat="1" ht="35" customHeight="1" x14ac:dyDescent="0.2">
      <c r="B133" s="200" t="s">
        <v>38</v>
      </c>
    </row>
    <row r="134" spans="2:2" s="197" customFormat="1" ht="54.75" customHeight="1" x14ac:dyDescent="0.2">
      <c r="B134" s="200" t="s">
        <v>39</v>
      </c>
    </row>
    <row r="135" spans="2:2" s="197" customFormat="1" ht="35" customHeight="1" x14ac:dyDescent="0.2">
      <c r="B135" s="200" t="s">
        <v>40</v>
      </c>
    </row>
    <row r="136" spans="2:2" s="197" customFormat="1" ht="35" customHeight="1" x14ac:dyDescent="0.2">
      <c r="B136" s="200" t="s">
        <v>41</v>
      </c>
    </row>
    <row r="137" spans="2:2" x14ac:dyDescent="0.15"/>
  </sheetData>
  <sheetProtection algorithmName="SHA-512" hashValue="vltTGhaS6h+6cd6JcmqfQVcj2HAeJabvpsu58KuyWYKqx8IbDyX0s87UM6cybsU8e/x/K9MsKtqV/lkc5LxgQw==" saltValue="VsNWn/RKFqdQdp7vPcF8qQ==" spinCount="100000" sheet="1" objects="1" scenarios="1"/>
  <hyperlinks>
    <hyperlink ref="B113" r:id="rId1" xr:uid="{00000000-0004-0000-0000-000000000000}"/>
    <hyperlink ref="B114" r:id="rId2" xr:uid="{00000000-0004-0000-0000-0000010000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386"/>
  <sheetViews>
    <sheetView showGridLines="0" tabSelected="1" zoomScaleNormal="100" workbookViewId="0">
      <selection activeCell="B23" sqref="B23"/>
    </sheetView>
  </sheetViews>
  <sheetFormatPr baseColWidth="10" defaultColWidth="0" defaultRowHeight="14" zeroHeight="1" x14ac:dyDescent="0.15"/>
  <cols>
    <col min="1" max="1" width="2.1640625" style="189" customWidth="1"/>
    <col min="2" max="2" width="40.83203125" style="189" customWidth="1"/>
    <col min="3" max="3" width="48.5" style="189" customWidth="1"/>
    <col min="4" max="4" width="20" style="189" customWidth="1"/>
    <col min="5" max="5" width="5.6640625" style="189" hidden="1" customWidth="1"/>
    <col min="6" max="6" width="26.5" style="189" hidden="1" customWidth="1"/>
    <col min="7" max="7" width="25.33203125" style="189" hidden="1" customWidth="1"/>
    <col min="8" max="8" width="28.6640625" style="189" hidden="1" customWidth="1"/>
    <col min="9" max="9" width="24.83203125" style="189" hidden="1" customWidth="1"/>
    <col min="10" max="10" width="0" style="189" hidden="1" customWidth="1"/>
    <col min="11" max="16384" width="8.83203125" style="189" hidden="1"/>
  </cols>
  <sheetData>
    <row r="1" spans="2:9" ht="11.25" customHeight="1" x14ac:dyDescent="0.15"/>
    <row r="2" spans="2:9" ht="60" customHeight="1" x14ac:dyDescent="0.15">
      <c r="B2" s="245" t="s">
        <v>0</v>
      </c>
      <c r="C2" s="245"/>
      <c r="D2" s="191"/>
      <c r="E2" s="191"/>
      <c r="F2" s="191"/>
      <c r="G2" s="191"/>
    </row>
    <row r="3" spans="2:9" x14ac:dyDescent="0.15"/>
    <row r="4" spans="2:9" ht="53" customHeight="1" x14ac:dyDescent="0.15">
      <c r="B4" s="202" t="s">
        <v>42</v>
      </c>
      <c r="C4" s="203" t="str">
        <f>'Data Validation'!BQ49</f>
        <v>Please enter the 'Asset name' below</v>
      </c>
    </row>
    <row r="5" spans="2:9" ht="14.5" customHeight="1" x14ac:dyDescent="0.15">
      <c r="B5" s="204"/>
    </row>
    <row r="6" spans="2:9" s="205" customFormat="1" ht="25.25" customHeight="1" x14ac:dyDescent="0.15">
      <c r="B6" s="244" t="s">
        <v>43</v>
      </c>
      <c r="C6" s="244"/>
      <c r="D6" s="189"/>
      <c r="E6" s="189"/>
      <c r="F6" s="189"/>
      <c r="G6" s="189"/>
      <c r="H6" s="189"/>
      <c r="I6" s="189"/>
    </row>
    <row r="7" spans="2:9" s="205" customFormat="1" ht="20" customHeight="1" x14ac:dyDescent="0.15">
      <c r="B7" s="241" t="s">
        <v>44</v>
      </c>
      <c r="C7" s="207"/>
      <c r="D7" s="189"/>
      <c r="E7" s="189"/>
      <c r="F7" s="189"/>
      <c r="G7" s="189"/>
      <c r="H7" s="189"/>
      <c r="I7" s="189"/>
    </row>
    <row r="8" spans="2:9" s="209" customFormat="1" ht="20" customHeight="1" x14ac:dyDescent="0.15">
      <c r="B8" s="242" t="s">
        <v>45</v>
      </c>
      <c r="C8" s="207"/>
      <c r="D8" s="189"/>
      <c r="E8" s="189"/>
      <c r="F8" s="189"/>
      <c r="G8" s="189"/>
      <c r="H8" s="189"/>
      <c r="I8" s="189"/>
    </row>
    <row r="9" spans="2:9" s="209" customFormat="1" ht="20" customHeight="1" x14ac:dyDescent="0.15">
      <c r="B9" s="241" t="s">
        <v>46</v>
      </c>
      <c r="C9" s="207"/>
      <c r="D9" s="189"/>
      <c r="E9" s="189"/>
      <c r="F9" s="189"/>
      <c r="G9" s="189"/>
      <c r="H9" s="189"/>
      <c r="I9" s="189"/>
    </row>
    <row r="10" spans="2:9" s="209" customFormat="1" ht="20" customHeight="1" x14ac:dyDescent="0.15">
      <c r="B10" s="241" t="s">
        <v>47</v>
      </c>
      <c r="C10" s="207"/>
      <c r="D10" s="189"/>
      <c r="E10" s="189"/>
      <c r="F10" s="189"/>
      <c r="G10" s="189"/>
      <c r="H10" s="189"/>
      <c r="I10" s="189"/>
    </row>
    <row r="11" spans="2:9" s="209" customFormat="1" ht="20" customHeight="1" x14ac:dyDescent="0.15">
      <c r="B11" s="243" t="s">
        <v>48</v>
      </c>
      <c r="C11" s="210"/>
      <c r="D11" s="189"/>
      <c r="E11" s="189"/>
      <c r="F11" s="189"/>
      <c r="G11" s="189"/>
      <c r="H11" s="189"/>
      <c r="I11" s="189"/>
    </row>
    <row r="12" spans="2:9" s="205" customFormat="1" ht="25.25" customHeight="1" x14ac:dyDescent="0.15">
      <c r="B12" s="244" t="s">
        <v>49</v>
      </c>
      <c r="C12" s="244"/>
      <c r="D12" s="189"/>
      <c r="E12" s="189"/>
      <c r="F12" s="189"/>
      <c r="G12" s="189"/>
      <c r="H12" s="189"/>
      <c r="I12" s="189"/>
    </row>
    <row r="13" spans="2:9" s="209" customFormat="1" ht="21.75" customHeight="1" x14ac:dyDescent="0.15">
      <c r="B13" s="241" t="s">
        <v>50</v>
      </c>
      <c r="C13" s="211" t="s">
        <v>51</v>
      </c>
      <c r="D13" s="189"/>
      <c r="E13" s="189"/>
      <c r="F13" s="189"/>
      <c r="G13" s="189"/>
      <c r="H13" s="189"/>
      <c r="I13" s="189"/>
    </row>
    <row r="14" spans="2:9" s="209" customFormat="1" ht="21.75" customHeight="1" x14ac:dyDescent="0.15">
      <c r="B14" s="241" t="s">
        <v>52</v>
      </c>
      <c r="C14" s="207"/>
      <c r="D14" s="189"/>
      <c r="E14" s="189"/>
      <c r="F14" s="189"/>
      <c r="G14" s="189"/>
      <c r="H14" s="189"/>
      <c r="I14" s="189"/>
    </row>
    <row r="15" spans="2:9" s="209" customFormat="1" ht="21.75" customHeight="1" x14ac:dyDescent="0.15">
      <c r="B15" s="241" t="s">
        <v>53</v>
      </c>
      <c r="C15" s="207"/>
      <c r="D15" s="189"/>
      <c r="E15" s="189"/>
      <c r="F15" s="189"/>
      <c r="G15" s="189"/>
      <c r="H15" s="189"/>
      <c r="I15" s="189"/>
    </row>
    <row r="16" spans="2:9" s="209" customFormat="1" ht="21.75" customHeight="1" x14ac:dyDescent="0.15">
      <c r="B16" s="241" t="s">
        <v>54</v>
      </c>
      <c r="C16" s="207"/>
      <c r="D16" s="189"/>
      <c r="E16" s="189"/>
      <c r="F16" s="189"/>
      <c r="G16" s="189"/>
      <c r="H16" s="189"/>
      <c r="I16" s="189"/>
    </row>
    <row r="17" spans="2:9" s="209" customFormat="1" ht="21.75" customHeight="1" x14ac:dyDescent="0.15">
      <c r="B17" s="241" t="s">
        <v>55</v>
      </c>
      <c r="C17" s="207"/>
      <c r="D17" s="189"/>
      <c r="E17" s="189"/>
      <c r="F17" s="189"/>
      <c r="G17" s="189"/>
      <c r="H17" s="189"/>
      <c r="I17" s="189"/>
    </row>
    <row r="18" spans="2:9" s="209" customFormat="1" ht="21.75" customHeight="1" x14ac:dyDescent="0.15">
      <c r="B18" s="241" t="s">
        <v>56</v>
      </c>
      <c r="C18" s="207"/>
      <c r="D18" s="189"/>
      <c r="E18" s="189"/>
      <c r="F18" s="189"/>
      <c r="G18" s="189"/>
      <c r="H18" s="189"/>
      <c r="I18" s="189"/>
    </row>
    <row r="19" spans="2:9" s="209" customFormat="1" ht="21.75" customHeight="1" x14ac:dyDescent="0.15">
      <c r="B19" s="241" t="s">
        <v>57</v>
      </c>
      <c r="C19" s="207"/>
      <c r="D19" s="189"/>
      <c r="E19" s="189"/>
      <c r="F19" s="189"/>
      <c r="G19" s="189"/>
      <c r="H19" s="189"/>
      <c r="I19" s="189"/>
    </row>
    <row r="20" spans="2:9" s="209" customFormat="1" ht="21.75" customHeight="1" x14ac:dyDescent="0.15">
      <c r="B20" s="241" t="s">
        <v>58</v>
      </c>
      <c r="C20" s="207"/>
      <c r="D20" s="189"/>
      <c r="E20" s="189"/>
      <c r="F20" s="189"/>
      <c r="G20" s="189"/>
      <c r="H20" s="189"/>
      <c r="I20" s="189"/>
    </row>
    <row r="21" spans="2:9" s="209" customFormat="1" ht="21.75" customHeight="1" x14ac:dyDescent="0.15">
      <c r="B21" s="241" t="s">
        <v>59</v>
      </c>
      <c r="C21" s="207"/>
      <c r="D21" s="189"/>
      <c r="E21" s="189"/>
      <c r="F21" s="189"/>
      <c r="G21" s="189"/>
      <c r="H21" s="189"/>
      <c r="I21" s="189"/>
    </row>
    <row r="22" spans="2:9" s="209" customFormat="1" ht="21.75" customHeight="1" x14ac:dyDescent="0.15">
      <c r="B22" s="241" t="s">
        <v>60</v>
      </c>
      <c r="C22" s="207"/>
      <c r="D22" s="189"/>
      <c r="E22" s="189"/>
      <c r="F22" s="189"/>
      <c r="G22" s="189"/>
      <c r="H22" s="189"/>
      <c r="I22" s="189"/>
    </row>
    <row r="23" spans="2:9" s="209" customFormat="1" ht="21.75" customHeight="1" x14ac:dyDescent="0.15">
      <c r="B23" s="243" t="s">
        <v>61</v>
      </c>
      <c r="C23" s="210"/>
      <c r="D23" s="189"/>
      <c r="E23" s="189"/>
      <c r="F23" s="189"/>
      <c r="G23" s="189"/>
      <c r="H23" s="189"/>
      <c r="I23" s="189"/>
    </row>
    <row r="24" spans="2:9" s="205" customFormat="1" ht="25.25" customHeight="1" x14ac:dyDescent="0.15">
      <c r="B24" s="244" t="s">
        <v>62</v>
      </c>
      <c r="C24" s="244"/>
      <c r="D24" s="189"/>
      <c r="E24" s="189"/>
      <c r="F24" s="189"/>
      <c r="G24" s="189"/>
      <c r="H24" s="189"/>
      <c r="I24" s="189"/>
    </row>
    <row r="25" spans="2:9" s="209" customFormat="1" ht="45.75" customHeight="1" x14ac:dyDescent="0.15">
      <c r="B25" s="242" t="s">
        <v>63</v>
      </c>
      <c r="C25" s="207"/>
      <c r="D25" s="189"/>
      <c r="E25" s="189"/>
      <c r="F25" s="189"/>
      <c r="G25" s="189"/>
      <c r="H25" s="189"/>
      <c r="I25" s="189"/>
    </row>
    <row r="26" spans="2:9" s="209" customFormat="1" ht="48" customHeight="1" x14ac:dyDescent="0.15">
      <c r="B26" s="242" t="s">
        <v>64</v>
      </c>
      <c r="C26" s="207"/>
      <c r="D26" s="189"/>
      <c r="E26" s="189"/>
      <c r="F26" s="189"/>
      <c r="G26" s="189"/>
      <c r="H26" s="189"/>
      <c r="I26" s="189"/>
    </row>
    <row r="27" spans="2:9" s="209" customFormat="1" ht="14.5" hidden="1" customHeight="1" x14ac:dyDescent="0.15">
      <c r="B27" s="189"/>
      <c r="C27" s="189"/>
      <c r="D27" s="189"/>
      <c r="E27" s="189"/>
      <c r="F27" s="189"/>
      <c r="G27" s="189"/>
      <c r="H27" s="189"/>
      <c r="I27" s="189"/>
    </row>
    <row r="28" spans="2:9" s="209" customFormat="1" ht="14.5" hidden="1" customHeight="1" x14ac:dyDescent="0.15">
      <c r="B28" s="189" t="s">
        <v>65</v>
      </c>
      <c r="C28" s="189"/>
      <c r="D28" s="189"/>
      <c r="E28" s="189"/>
      <c r="F28" s="189"/>
      <c r="G28" s="189"/>
      <c r="H28" s="189"/>
      <c r="I28" s="189"/>
    </row>
    <row r="29" spans="2:9" s="209" customFormat="1" ht="14.5" hidden="1" customHeight="1" x14ac:dyDescent="0.15">
      <c r="B29" s="212" t="s">
        <v>66</v>
      </c>
      <c r="C29" s="212" t="s">
        <v>67</v>
      </c>
      <c r="D29" s="212" t="s">
        <v>68</v>
      </c>
      <c r="E29" s="189"/>
      <c r="F29" s="189"/>
      <c r="G29" s="189"/>
      <c r="H29" s="189"/>
      <c r="I29" s="189"/>
    </row>
    <row r="30" spans="2:9" s="209" customFormat="1" ht="14.5" hidden="1" customHeight="1" x14ac:dyDescent="0.15">
      <c r="B30" s="206">
        <v>1</v>
      </c>
      <c r="C30" s="213" t="s">
        <v>69</v>
      </c>
      <c r="D30" s="213" t="s">
        <v>70</v>
      </c>
      <c r="E30" s="189"/>
      <c r="F30" s="189"/>
      <c r="G30" s="189"/>
      <c r="H30" s="189"/>
      <c r="I30" s="189"/>
    </row>
    <row r="31" spans="2:9" s="209" customFormat="1" ht="14.5" hidden="1" customHeight="1" x14ac:dyDescent="0.15">
      <c r="B31" s="208">
        <v>2</v>
      </c>
      <c r="C31" s="213" t="s">
        <v>71</v>
      </c>
      <c r="D31" s="213" t="s">
        <v>70</v>
      </c>
      <c r="E31" s="189"/>
      <c r="F31" s="189"/>
      <c r="G31" s="189"/>
      <c r="H31" s="189"/>
      <c r="I31" s="189"/>
    </row>
    <row r="32" spans="2:9" s="209" customFormat="1" ht="14.5" hidden="1" customHeight="1" x14ac:dyDescent="0.15">
      <c r="B32" s="206">
        <v>3</v>
      </c>
      <c r="C32" s="213" t="s">
        <v>72</v>
      </c>
      <c r="D32" s="213" t="s">
        <v>70</v>
      </c>
      <c r="E32" s="189"/>
      <c r="F32" s="189"/>
      <c r="G32" s="189"/>
      <c r="H32" s="189"/>
      <c r="I32" s="189"/>
    </row>
    <row r="33" spans="2:9" s="209" customFormat="1" ht="14.5" hidden="1" customHeight="1" x14ac:dyDescent="0.15">
      <c r="B33" s="206">
        <v>4</v>
      </c>
      <c r="C33" s="213" t="s">
        <v>73</v>
      </c>
      <c r="D33" s="213" t="s">
        <v>74</v>
      </c>
      <c r="E33" s="189"/>
      <c r="F33" s="189"/>
      <c r="G33" s="189"/>
      <c r="H33" s="189"/>
      <c r="I33" s="189"/>
    </row>
    <row r="34" spans="2:9" s="209" customFormat="1" ht="14.5" hidden="1" customHeight="1" x14ac:dyDescent="0.15">
      <c r="B34" s="206">
        <v>5</v>
      </c>
      <c r="C34" s="213"/>
      <c r="D34" s="213"/>
      <c r="E34" s="189"/>
      <c r="F34" s="189"/>
      <c r="G34" s="189"/>
      <c r="H34" s="189"/>
      <c r="I34" s="189"/>
    </row>
    <row r="35" spans="2:9" s="209" customFormat="1" ht="14.5" hidden="1" customHeight="1" x14ac:dyDescent="0.15">
      <c r="B35" s="208">
        <v>6</v>
      </c>
      <c r="C35" s="213"/>
      <c r="D35" s="213"/>
      <c r="E35" s="189"/>
      <c r="F35" s="189"/>
      <c r="G35" s="189"/>
      <c r="H35" s="189"/>
      <c r="I35" s="189"/>
    </row>
    <row r="36" spans="2:9" s="209" customFormat="1" ht="14.5" hidden="1" customHeight="1" x14ac:dyDescent="0.15">
      <c r="B36" s="206">
        <v>7</v>
      </c>
      <c r="C36" s="213"/>
      <c r="D36" s="213"/>
      <c r="E36" s="189"/>
      <c r="F36" s="189"/>
      <c r="G36" s="189"/>
      <c r="H36" s="189"/>
      <c r="I36" s="189"/>
    </row>
    <row r="37" spans="2:9" s="209" customFormat="1" ht="14.5" hidden="1" customHeight="1" x14ac:dyDescent="0.15">
      <c r="B37" s="206">
        <v>8</v>
      </c>
      <c r="C37" s="213"/>
      <c r="D37" s="213"/>
      <c r="E37" s="189"/>
      <c r="F37" s="189"/>
      <c r="G37" s="189"/>
      <c r="H37" s="189"/>
      <c r="I37" s="189"/>
    </row>
    <row r="38" spans="2:9" s="209" customFormat="1" ht="14.5" hidden="1" customHeight="1" x14ac:dyDescent="0.15">
      <c r="B38" s="206">
        <v>9</v>
      </c>
      <c r="C38" s="213"/>
      <c r="D38" s="213"/>
      <c r="E38" s="189"/>
      <c r="F38" s="189"/>
      <c r="G38" s="189"/>
      <c r="H38" s="189"/>
      <c r="I38" s="189"/>
    </row>
    <row r="39" spans="2:9" s="209" customFormat="1" ht="14.5" hidden="1" customHeight="1" x14ac:dyDescent="0.15">
      <c r="B39" s="208">
        <v>10</v>
      </c>
      <c r="C39" s="213"/>
      <c r="D39" s="213"/>
      <c r="E39" s="189"/>
      <c r="F39" s="189"/>
      <c r="G39" s="189"/>
      <c r="H39" s="189"/>
      <c r="I39" s="189"/>
    </row>
    <row r="40" spans="2:9" s="209" customFormat="1" ht="14.5" hidden="1" customHeight="1" x14ac:dyDescent="0.15">
      <c r="B40" s="206">
        <v>11</v>
      </c>
      <c r="C40" s="213"/>
      <c r="D40" s="213"/>
      <c r="E40" s="189"/>
      <c r="F40" s="189"/>
      <c r="G40" s="189"/>
      <c r="H40" s="189"/>
      <c r="I40" s="189"/>
    </row>
    <row r="41" spans="2:9" s="209" customFormat="1" ht="14.5" hidden="1" customHeight="1" x14ac:dyDescent="0.15">
      <c r="B41" s="206">
        <v>12</v>
      </c>
      <c r="C41" s="213"/>
      <c r="D41" s="213"/>
      <c r="E41" s="189"/>
      <c r="F41" s="189"/>
      <c r="G41" s="189"/>
      <c r="H41" s="189"/>
      <c r="I41" s="189"/>
    </row>
    <row r="42" spans="2:9" s="209" customFormat="1" ht="14.5" hidden="1" customHeight="1" x14ac:dyDescent="0.15">
      <c r="B42" s="206">
        <v>13</v>
      </c>
      <c r="C42" s="213"/>
      <c r="D42" s="213"/>
      <c r="E42" s="189"/>
      <c r="F42" s="189"/>
      <c r="G42" s="189"/>
      <c r="H42" s="189"/>
      <c r="I42" s="189"/>
    </row>
    <row r="43" spans="2:9" s="209" customFormat="1" ht="14.5" hidden="1" customHeight="1" x14ac:dyDescent="0.15">
      <c r="B43" s="208">
        <v>14</v>
      </c>
      <c r="C43" s="213"/>
      <c r="D43" s="213"/>
      <c r="E43" s="189"/>
      <c r="F43" s="189"/>
      <c r="G43" s="189"/>
      <c r="H43" s="189"/>
      <c r="I43" s="189"/>
    </row>
    <row r="44" spans="2:9" s="209" customFormat="1" ht="14.5" hidden="1" customHeight="1" x14ac:dyDescent="0.15">
      <c r="B44" s="206">
        <v>15</v>
      </c>
      <c r="C44" s="213"/>
      <c r="D44" s="213"/>
      <c r="E44" s="189"/>
      <c r="F44" s="189"/>
      <c r="G44" s="189"/>
      <c r="H44" s="189"/>
      <c r="I44" s="189"/>
    </row>
    <row r="45" spans="2:9" s="209" customFormat="1" ht="14.5" hidden="1" customHeight="1" x14ac:dyDescent="0.15">
      <c r="B45" s="206">
        <v>16</v>
      </c>
      <c r="C45" s="213"/>
      <c r="D45" s="213"/>
      <c r="E45" s="189"/>
      <c r="F45" s="189"/>
      <c r="G45" s="189"/>
      <c r="H45" s="189"/>
      <c r="I45" s="189"/>
    </row>
    <row r="46" spans="2:9" s="209" customFormat="1" ht="14.5" hidden="1" customHeight="1" x14ac:dyDescent="0.15">
      <c r="B46" s="206">
        <v>17</v>
      </c>
      <c r="C46" s="213"/>
      <c r="D46" s="213"/>
      <c r="E46" s="189"/>
      <c r="F46" s="189"/>
      <c r="G46" s="189"/>
      <c r="H46" s="189"/>
      <c r="I46" s="189"/>
    </row>
    <row r="47" spans="2:9" s="209" customFormat="1" ht="14.5" hidden="1" customHeight="1" x14ac:dyDescent="0.15">
      <c r="B47" s="208">
        <v>18</v>
      </c>
      <c r="C47" s="213"/>
      <c r="D47" s="213"/>
      <c r="E47" s="189"/>
      <c r="F47" s="189"/>
      <c r="G47" s="189"/>
      <c r="H47" s="189"/>
      <c r="I47" s="189"/>
    </row>
    <row r="48" spans="2:9" s="209" customFormat="1" ht="14.5" hidden="1" customHeight="1" x14ac:dyDescent="0.15">
      <c r="B48" s="206">
        <v>19</v>
      </c>
      <c r="C48" s="213"/>
      <c r="D48" s="213"/>
      <c r="E48" s="189"/>
      <c r="F48" s="189"/>
      <c r="G48" s="189"/>
      <c r="H48" s="189"/>
      <c r="I48" s="189"/>
    </row>
    <row r="49" spans="2:9" s="209" customFormat="1" ht="14.5" hidden="1" customHeight="1" x14ac:dyDescent="0.15">
      <c r="B49" s="206">
        <v>20</v>
      </c>
      <c r="C49" s="213"/>
      <c r="D49" s="213"/>
      <c r="E49" s="189"/>
      <c r="F49" s="189"/>
      <c r="G49" s="189"/>
      <c r="H49" s="189"/>
      <c r="I49" s="189"/>
    </row>
    <row r="50" spans="2:9" s="209" customFormat="1" ht="14.5" hidden="1" customHeight="1" x14ac:dyDescent="0.15">
      <c r="B50" s="206">
        <v>21</v>
      </c>
      <c r="C50" s="213"/>
      <c r="D50" s="213"/>
      <c r="E50" s="189"/>
      <c r="F50" s="189"/>
      <c r="G50" s="189"/>
      <c r="H50" s="189"/>
      <c r="I50" s="189"/>
    </row>
    <row r="51" spans="2:9" s="209" customFormat="1" ht="14.5" hidden="1" customHeight="1" x14ac:dyDescent="0.15">
      <c r="B51" s="208">
        <v>22</v>
      </c>
      <c r="C51" s="213"/>
      <c r="D51" s="213"/>
      <c r="E51" s="189"/>
      <c r="F51" s="189"/>
      <c r="G51" s="189"/>
      <c r="H51" s="189"/>
      <c r="I51" s="189"/>
    </row>
    <row r="52" spans="2:9" s="209" customFormat="1" ht="14.5" hidden="1" customHeight="1" x14ac:dyDescent="0.15">
      <c r="B52" s="206">
        <v>23</v>
      </c>
      <c r="C52" s="213"/>
      <c r="D52" s="213"/>
      <c r="E52" s="189"/>
      <c r="F52" s="189"/>
      <c r="G52" s="189"/>
      <c r="H52" s="189"/>
      <c r="I52" s="189"/>
    </row>
    <row r="53" spans="2:9" s="209" customFormat="1" ht="14.5" hidden="1" customHeight="1" x14ac:dyDescent="0.15">
      <c r="B53" s="206">
        <v>24</v>
      </c>
      <c r="C53" s="213"/>
      <c r="D53" s="213"/>
      <c r="E53" s="189"/>
      <c r="F53" s="189"/>
      <c r="G53" s="189"/>
      <c r="H53" s="189"/>
      <c r="I53" s="189"/>
    </row>
    <row r="54" spans="2:9" s="209" customFormat="1" ht="14.5" hidden="1" customHeight="1" x14ac:dyDescent="0.15">
      <c r="B54" s="206">
        <v>25</v>
      </c>
      <c r="C54" s="213"/>
      <c r="D54" s="213"/>
      <c r="E54" s="189"/>
      <c r="F54" s="189"/>
      <c r="G54" s="189"/>
      <c r="H54" s="189"/>
      <c r="I54" s="189"/>
    </row>
    <row r="55" spans="2:9" s="209" customFormat="1" ht="14.5" hidden="1" customHeight="1" x14ac:dyDescent="0.15">
      <c r="B55" s="208">
        <v>26</v>
      </c>
      <c r="C55" s="213"/>
      <c r="D55" s="213"/>
      <c r="E55" s="189"/>
      <c r="F55" s="189"/>
      <c r="G55" s="189"/>
      <c r="H55" s="189"/>
      <c r="I55" s="189"/>
    </row>
    <row r="56" spans="2:9" s="209" customFormat="1" ht="14.5" hidden="1" customHeight="1" x14ac:dyDescent="0.15">
      <c r="B56" s="206">
        <v>27</v>
      </c>
      <c r="C56" s="213"/>
      <c r="D56" s="213"/>
      <c r="E56" s="189"/>
      <c r="F56" s="189"/>
      <c r="G56" s="189"/>
      <c r="H56" s="189"/>
      <c r="I56" s="189"/>
    </row>
    <row r="57" spans="2:9" s="209" customFormat="1" ht="14.5" hidden="1" customHeight="1" x14ac:dyDescent="0.15">
      <c r="B57" s="206">
        <v>28</v>
      </c>
      <c r="C57" s="213"/>
      <c r="D57" s="213"/>
      <c r="E57" s="189"/>
      <c r="F57" s="189"/>
      <c r="G57" s="189"/>
      <c r="H57" s="189"/>
      <c r="I57" s="189"/>
    </row>
    <row r="58" spans="2:9" s="209" customFormat="1" ht="14.5" hidden="1" customHeight="1" x14ac:dyDescent="0.15">
      <c r="B58" s="206">
        <v>29</v>
      </c>
      <c r="C58" s="213"/>
      <c r="D58" s="213"/>
      <c r="E58" s="189"/>
      <c r="F58" s="189"/>
      <c r="G58" s="189"/>
      <c r="H58" s="189"/>
      <c r="I58" s="189"/>
    </row>
    <row r="59" spans="2:9" s="209" customFormat="1" ht="14.5" hidden="1" customHeight="1" x14ac:dyDescent="0.15">
      <c r="B59" s="208">
        <v>30</v>
      </c>
      <c r="C59" s="213"/>
      <c r="D59" s="213"/>
      <c r="E59" s="189"/>
      <c r="F59" s="189"/>
      <c r="G59" s="189"/>
      <c r="H59" s="189"/>
      <c r="I59" s="189"/>
    </row>
    <row r="60" spans="2:9" s="209" customFormat="1" ht="14.5" hidden="1" customHeight="1" x14ac:dyDescent="0.15">
      <c r="B60" s="206">
        <v>31</v>
      </c>
      <c r="C60" s="213"/>
      <c r="D60" s="213"/>
      <c r="E60" s="189"/>
      <c r="F60" s="189"/>
      <c r="G60" s="189"/>
      <c r="H60" s="189"/>
      <c r="I60" s="189"/>
    </row>
    <row r="61" spans="2:9" s="209" customFormat="1" ht="14.5" hidden="1" customHeight="1" x14ac:dyDescent="0.15">
      <c r="B61" s="206">
        <v>32</v>
      </c>
      <c r="C61" s="213"/>
      <c r="D61" s="213"/>
      <c r="E61" s="189"/>
      <c r="F61" s="189"/>
      <c r="G61" s="189"/>
      <c r="H61" s="189"/>
      <c r="I61" s="189"/>
    </row>
    <row r="62" spans="2:9" s="209" customFormat="1" ht="14.5" hidden="1" customHeight="1" x14ac:dyDescent="0.15">
      <c r="B62" s="206">
        <v>33</v>
      </c>
      <c r="C62" s="213"/>
      <c r="D62" s="213"/>
      <c r="E62" s="189"/>
      <c r="F62" s="189"/>
      <c r="G62" s="189"/>
      <c r="H62" s="189"/>
      <c r="I62" s="189"/>
    </row>
    <row r="63" spans="2:9" s="209" customFormat="1" ht="14.5" hidden="1" customHeight="1" x14ac:dyDescent="0.15">
      <c r="B63" s="208">
        <v>34</v>
      </c>
      <c r="C63" s="213"/>
      <c r="D63" s="213"/>
      <c r="E63" s="189"/>
      <c r="F63" s="189"/>
      <c r="G63" s="189"/>
      <c r="H63" s="189"/>
      <c r="I63" s="189"/>
    </row>
    <row r="64" spans="2:9" s="209" customFormat="1" ht="14.5" hidden="1" customHeight="1" x14ac:dyDescent="0.15">
      <c r="B64" s="206">
        <v>35</v>
      </c>
      <c r="C64" s="213"/>
      <c r="D64" s="213"/>
      <c r="E64" s="189"/>
      <c r="F64" s="189"/>
      <c r="G64" s="189"/>
      <c r="H64" s="189"/>
      <c r="I64" s="189"/>
    </row>
    <row r="65" spans="2:9" s="209" customFormat="1" ht="14.5" hidden="1" customHeight="1" x14ac:dyDescent="0.15">
      <c r="B65" s="206">
        <v>36</v>
      </c>
      <c r="C65" s="213"/>
      <c r="D65" s="213"/>
      <c r="E65" s="189"/>
      <c r="F65" s="189"/>
      <c r="G65" s="189"/>
      <c r="H65" s="189"/>
      <c r="I65" s="189"/>
    </row>
    <row r="66" spans="2:9" s="209" customFormat="1" ht="14.5" hidden="1" customHeight="1" x14ac:dyDescent="0.15">
      <c r="B66" s="206">
        <v>37</v>
      </c>
      <c r="C66" s="213"/>
      <c r="D66" s="213"/>
      <c r="E66" s="189"/>
      <c r="F66" s="189"/>
      <c r="G66" s="189"/>
      <c r="H66" s="189"/>
      <c r="I66" s="189"/>
    </row>
    <row r="67" spans="2:9" s="209" customFormat="1" ht="14.5" hidden="1" customHeight="1" x14ac:dyDescent="0.15">
      <c r="B67" s="208">
        <v>38</v>
      </c>
      <c r="C67" s="213"/>
      <c r="D67" s="213"/>
      <c r="E67" s="189"/>
      <c r="F67" s="189"/>
      <c r="G67" s="189"/>
      <c r="H67" s="189"/>
      <c r="I67" s="189"/>
    </row>
    <row r="68" spans="2:9" s="209" customFormat="1" ht="14.5" hidden="1" customHeight="1" x14ac:dyDescent="0.15">
      <c r="B68" s="206">
        <v>39</v>
      </c>
      <c r="C68" s="213"/>
      <c r="D68" s="213"/>
      <c r="E68" s="189"/>
      <c r="F68" s="189"/>
      <c r="G68" s="189"/>
      <c r="H68" s="189"/>
      <c r="I68" s="189"/>
    </row>
    <row r="69" spans="2:9" s="209" customFormat="1" ht="14.5" hidden="1" customHeight="1" x14ac:dyDescent="0.15">
      <c r="B69" s="206">
        <v>40</v>
      </c>
      <c r="C69" s="213"/>
      <c r="D69" s="213"/>
      <c r="E69" s="189"/>
      <c r="F69" s="189"/>
      <c r="G69" s="189"/>
      <c r="H69" s="189"/>
      <c r="I69" s="189"/>
    </row>
    <row r="70" spans="2:9" s="209" customFormat="1" ht="14.5" hidden="1" customHeight="1" x14ac:dyDescent="0.15">
      <c r="B70" s="206">
        <v>41</v>
      </c>
      <c r="C70" s="213"/>
      <c r="D70" s="213"/>
      <c r="E70" s="189"/>
      <c r="F70" s="189"/>
      <c r="G70" s="189"/>
      <c r="H70" s="189"/>
      <c r="I70" s="189"/>
    </row>
    <row r="71" spans="2:9" s="209" customFormat="1" ht="14.5" hidden="1" customHeight="1" x14ac:dyDescent="0.15">
      <c r="B71" s="208">
        <v>42</v>
      </c>
      <c r="C71" s="213"/>
      <c r="D71" s="213"/>
      <c r="E71" s="189"/>
      <c r="F71" s="189"/>
      <c r="G71" s="189"/>
      <c r="H71" s="189"/>
      <c r="I71" s="189"/>
    </row>
    <row r="72" spans="2:9" s="209" customFormat="1" ht="14.5" hidden="1" customHeight="1" x14ac:dyDescent="0.15">
      <c r="B72" s="206">
        <v>43</v>
      </c>
      <c r="C72" s="213"/>
      <c r="D72" s="213"/>
      <c r="E72" s="189"/>
      <c r="F72" s="189"/>
      <c r="G72" s="189"/>
      <c r="H72" s="189"/>
      <c r="I72" s="189"/>
    </row>
    <row r="73" spans="2:9" s="209" customFormat="1" ht="14.5" hidden="1" customHeight="1" x14ac:dyDescent="0.15">
      <c r="B73" s="206">
        <v>44</v>
      </c>
      <c r="C73" s="213"/>
      <c r="D73" s="213"/>
      <c r="E73" s="189"/>
      <c r="F73" s="189"/>
      <c r="G73" s="189"/>
      <c r="H73" s="189"/>
      <c r="I73" s="189"/>
    </row>
    <row r="74" spans="2:9" s="209" customFormat="1" ht="14.5" hidden="1" customHeight="1" x14ac:dyDescent="0.15">
      <c r="B74" s="206">
        <v>45</v>
      </c>
      <c r="C74" s="213"/>
      <c r="D74" s="213"/>
      <c r="E74" s="189"/>
      <c r="F74" s="189"/>
      <c r="G74" s="189"/>
      <c r="H74" s="189"/>
      <c r="I74" s="189"/>
    </row>
    <row r="75" spans="2:9" s="209" customFormat="1" ht="14.5" hidden="1" customHeight="1" x14ac:dyDescent="0.15">
      <c r="B75" s="208">
        <v>46</v>
      </c>
      <c r="C75" s="213"/>
      <c r="D75" s="213"/>
      <c r="E75" s="189"/>
      <c r="F75" s="189"/>
      <c r="G75" s="189"/>
      <c r="H75" s="189"/>
      <c r="I75" s="189"/>
    </row>
    <row r="76" spans="2:9" s="209" customFormat="1" ht="14.5" hidden="1" customHeight="1" x14ac:dyDescent="0.15">
      <c r="B76" s="206">
        <v>47</v>
      </c>
      <c r="C76" s="213"/>
      <c r="D76" s="213"/>
      <c r="E76" s="189"/>
      <c r="F76" s="189"/>
      <c r="G76" s="189"/>
      <c r="H76" s="189"/>
      <c r="I76" s="189"/>
    </row>
    <row r="77" spans="2:9" s="209" customFormat="1" ht="14.5" hidden="1" customHeight="1" x14ac:dyDescent="0.15">
      <c r="B77" s="206">
        <v>48</v>
      </c>
      <c r="C77" s="213"/>
      <c r="D77" s="213"/>
      <c r="E77" s="189"/>
      <c r="F77" s="189"/>
      <c r="G77" s="189"/>
      <c r="H77" s="189"/>
      <c r="I77" s="189"/>
    </row>
    <row r="78" spans="2:9" s="209" customFormat="1" ht="14.5" hidden="1" customHeight="1" x14ac:dyDescent="0.15">
      <c r="B78" s="206">
        <v>49</v>
      </c>
      <c r="C78" s="213"/>
      <c r="D78" s="213"/>
      <c r="E78" s="189"/>
      <c r="F78" s="189"/>
      <c r="G78" s="189"/>
      <c r="H78" s="189"/>
      <c r="I78" s="189"/>
    </row>
    <row r="79" spans="2:9" s="209" customFormat="1" ht="14.5" hidden="1" customHeight="1" x14ac:dyDescent="0.15">
      <c r="B79" s="208">
        <v>50</v>
      </c>
      <c r="C79" s="213"/>
      <c r="D79" s="213"/>
      <c r="E79" s="189"/>
      <c r="F79" s="189"/>
      <c r="G79" s="189"/>
      <c r="H79" s="189"/>
      <c r="I79" s="189"/>
    </row>
    <row r="80" spans="2:9" s="209" customFormat="1" ht="14.5" hidden="1" customHeight="1" x14ac:dyDescent="0.15">
      <c r="B80" s="206">
        <v>51</v>
      </c>
      <c r="C80" s="213"/>
      <c r="D80" s="213"/>
      <c r="E80" s="189"/>
      <c r="F80" s="189"/>
      <c r="G80" s="189"/>
      <c r="H80" s="189"/>
      <c r="I80" s="189"/>
    </row>
    <row r="81" spans="2:9" s="209" customFormat="1" ht="14.5" hidden="1" customHeight="1" x14ac:dyDescent="0.15">
      <c r="B81" s="206">
        <v>52</v>
      </c>
      <c r="C81" s="213"/>
      <c r="D81" s="213"/>
      <c r="E81" s="189"/>
      <c r="F81" s="189"/>
      <c r="G81" s="189"/>
      <c r="H81" s="189"/>
      <c r="I81" s="189"/>
    </row>
    <row r="82" spans="2:9" s="209" customFormat="1" ht="14.5" hidden="1" customHeight="1" x14ac:dyDescent="0.15">
      <c r="B82" s="206">
        <v>53</v>
      </c>
      <c r="C82" s="213"/>
      <c r="D82" s="213"/>
      <c r="E82" s="189"/>
      <c r="F82" s="189"/>
      <c r="G82" s="189"/>
      <c r="H82" s="189"/>
      <c r="I82" s="189"/>
    </row>
    <row r="83" spans="2:9" s="209" customFormat="1" ht="14.5" hidden="1" customHeight="1" x14ac:dyDescent="0.15">
      <c r="B83" s="208">
        <v>54</v>
      </c>
      <c r="C83" s="213"/>
      <c r="D83" s="213"/>
      <c r="E83" s="189"/>
      <c r="F83" s="189"/>
      <c r="G83" s="189"/>
      <c r="H83" s="189"/>
      <c r="I83" s="189"/>
    </row>
    <row r="84" spans="2:9" s="209" customFormat="1" ht="14.5" hidden="1" customHeight="1" x14ac:dyDescent="0.15">
      <c r="B84" s="206">
        <v>55</v>
      </c>
      <c r="C84" s="213"/>
      <c r="D84" s="213"/>
      <c r="E84" s="189"/>
      <c r="F84" s="189"/>
      <c r="G84" s="189"/>
      <c r="H84" s="189"/>
      <c r="I84" s="189"/>
    </row>
    <row r="85" spans="2:9" s="209" customFormat="1" ht="14.5" hidden="1" customHeight="1" x14ac:dyDescent="0.15">
      <c r="B85" s="206">
        <v>56</v>
      </c>
      <c r="C85" s="213"/>
      <c r="D85" s="213"/>
      <c r="E85" s="189"/>
      <c r="F85" s="189"/>
      <c r="G85" s="189"/>
      <c r="H85" s="189"/>
      <c r="I85" s="189"/>
    </row>
    <row r="86" spans="2:9" s="209" customFormat="1" ht="14.5" hidden="1" customHeight="1" x14ac:dyDescent="0.15">
      <c r="B86" s="206">
        <v>57</v>
      </c>
      <c r="C86" s="213"/>
      <c r="D86" s="213"/>
      <c r="E86" s="189"/>
      <c r="F86" s="189"/>
      <c r="G86" s="189"/>
      <c r="H86" s="189"/>
      <c r="I86" s="189"/>
    </row>
    <row r="87" spans="2:9" s="209" customFormat="1" ht="14.5" hidden="1" customHeight="1" x14ac:dyDescent="0.15">
      <c r="B87" s="208">
        <v>58</v>
      </c>
      <c r="C87" s="213"/>
      <c r="D87" s="213"/>
      <c r="E87" s="189"/>
      <c r="F87" s="189"/>
      <c r="G87" s="189"/>
      <c r="H87" s="189"/>
      <c r="I87" s="189"/>
    </row>
    <row r="88" spans="2:9" s="209" customFormat="1" ht="14.5" hidden="1" customHeight="1" x14ac:dyDescent="0.15">
      <c r="B88" s="206">
        <v>59</v>
      </c>
      <c r="C88" s="213"/>
      <c r="D88" s="213"/>
      <c r="E88" s="189"/>
      <c r="F88" s="189"/>
      <c r="G88" s="189"/>
      <c r="H88" s="189"/>
      <c r="I88" s="189"/>
    </row>
    <row r="89" spans="2:9" s="209" customFormat="1" ht="14.5" hidden="1" customHeight="1" x14ac:dyDescent="0.15">
      <c r="B89" s="206">
        <v>60</v>
      </c>
      <c r="C89" s="213"/>
      <c r="D89" s="213"/>
      <c r="E89" s="189"/>
      <c r="F89" s="189"/>
      <c r="G89" s="189"/>
      <c r="H89" s="189"/>
      <c r="I89" s="189"/>
    </row>
    <row r="90" spans="2:9" s="209" customFormat="1" ht="14.5" hidden="1" customHeight="1" x14ac:dyDescent="0.15">
      <c r="B90" s="206">
        <v>61</v>
      </c>
      <c r="C90" s="213"/>
      <c r="D90" s="213"/>
      <c r="E90" s="189"/>
      <c r="F90" s="189"/>
      <c r="G90" s="189"/>
      <c r="H90" s="189"/>
      <c r="I90" s="189"/>
    </row>
    <row r="91" spans="2:9" s="209" customFormat="1" ht="14.5" hidden="1" customHeight="1" x14ac:dyDescent="0.15">
      <c r="B91" s="208">
        <v>62</v>
      </c>
      <c r="C91" s="213"/>
      <c r="D91" s="213"/>
      <c r="E91" s="189"/>
      <c r="F91" s="189"/>
      <c r="G91" s="189"/>
      <c r="H91" s="189"/>
      <c r="I91" s="189"/>
    </row>
    <row r="92" spans="2:9" s="209" customFormat="1" ht="14.5" hidden="1" customHeight="1" x14ac:dyDescent="0.15">
      <c r="B92" s="206">
        <v>63</v>
      </c>
      <c r="C92" s="213"/>
      <c r="D92" s="213"/>
      <c r="E92" s="189"/>
      <c r="F92" s="189"/>
      <c r="G92" s="189"/>
      <c r="H92" s="189"/>
      <c r="I92" s="189"/>
    </row>
    <row r="93" spans="2:9" s="209" customFormat="1" ht="14.5" hidden="1" customHeight="1" x14ac:dyDescent="0.15">
      <c r="B93" s="206">
        <v>64</v>
      </c>
      <c r="C93" s="213"/>
      <c r="D93" s="213"/>
      <c r="E93" s="189"/>
      <c r="F93" s="189"/>
      <c r="G93" s="189"/>
      <c r="H93" s="189"/>
      <c r="I93" s="189"/>
    </row>
    <row r="94" spans="2:9" s="209" customFormat="1" ht="14.5" hidden="1" customHeight="1" x14ac:dyDescent="0.15">
      <c r="B94" s="206">
        <v>65</v>
      </c>
      <c r="C94" s="213"/>
      <c r="D94" s="213"/>
      <c r="E94" s="189"/>
      <c r="F94" s="189"/>
      <c r="G94" s="189"/>
      <c r="H94" s="189"/>
      <c r="I94" s="189"/>
    </row>
    <row r="95" spans="2:9" s="209" customFormat="1" ht="14.5" hidden="1" customHeight="1" x14ac:dyDescent="0.15">
      <c r="B95" s="208">
        <v>66</v>
      </c>
      <c r="C95" s="213"/>
      <c r="D95" s="213"/>
      <c r="E95" s="189"/>
      <c r="F95" s="189"/>
      <c r="G95" s="189"/>
      <c r="H95" s="189"/>
      <c r="I95" s="189"/>
    </row>
    <row r="96" spans="2:9" s="209" customFormat="1" ht="14.5" hidden="1" customHeight="1" x14ac:dyDescent="0.15">
      <c r="B96" s="206">
        <v>67</v>
      </c>
      <c r="C96" s="213"/>
      <c r="D96" s="213"/>
      <c r="E96" s="189"/>
      <c r="F96" s="189"/>
      <c r="G96" s="189"/>
      <c r="H96" s="189"/>
      <c r="I96" s="189"/>
    </row>
    <row r="97" spans="2:9" s="209" customFormat="1" ht="14.5" hidden="1" customHeight="1" x14ac:dyDescent="0.15">
      <c r="B97" s="206">
        <v>68</v>
      </c>
      <c r="C97" s="213"/>
      <c r="D97" s="213"/>
      <c r="E97" s="189"/>
      <c r="F97" s="189"/>
      <c r="G97" s="189"/>
      <c r="H97" s="189"/>
      <c r="I97" s="189"/>
    </row>
    <row r="98" spans="2:9" s="209" customFormat="1" ht="14.5" hidden="1" customHeight="1" x14ac:dyDescent="0.15">
      <c r="B98" s="206">
        <v>69</v>
      </c>
      <c r="C98" s="213"/>
      <c r="D98" s="213"/>
      <c r="E98" s="189"/>
      <c r="F98" s="189"/>
      <c r="G98" s="189"/>
      <c r="H98" s="189"/>
      <c r="I98" s="189"/>
    </row>
    <row r="99" spans="2:9" s="209" customFormat="1" ht="20" hidden="1" customHeight="1" x14ac:dyDescent="0.15">
      <c r="B99" s="208">
        <v>70</v>
      </c>
      <c r="C99" s="213"/>
      <c r="D99" s="213"/>
      <c r="E99" s="189"/>
      <c r="F99" s="189"/>
      <c r="G99" s="189"/>
      <c r="H99" s="189"/>
      <c r="I99" s="189"/>
    </row>
    <row r="100" spans="2:9" hidden="1" x14ac:dyDescent="0.15">
      <c r="B100" s="206">
        <v>71</v>
      </c>
      <c r="C100" s="213"/>
      <c r="D100" s="213"/>
    </row>
    <row r="101" spans="2:9" hidden="1" x14ac:dyDescent="0.15">
      <c r="B101" s="206">
        <v>72</v>
      </c>
      <c r="C101" s="213"/>
      <c r="D101" s="213"/>
    </row>
    <row r="102" spans="2:9" hidden="1" x14ac:dyDescent="0.15">
      <c r="B102" s="206">
        <v>73</v>
      </c>
      <c r="C102" s="213"/>
      <c r="D102" s="213"/>
    </row>
    <row r="103" spans="2:9" hidden="1" x14ac:dyDescent="0.15">
      <c r="B103" s="208">
        <v>74</v>
      </c>
      <c r="C103" s="213"/>
      <c r="D103" s="213"/>
    </row>
    <row r="104" spans="2:9" hidden="1" x14ac:dyDescent="0.15">
      <c r="B104" s="206">
        <v>75</v>
      </c>
      <c r="C104" s="213"/>
      <c r="D104" s="213"/>
    </row>
    <row r="105" spans="2:9" hidden="1" x14ac:dyDescent="0.15">
      <c r="B105" s="206">
        <v>76</v>
      </c>
      <c r="C105" s="213"/>
      <c r="D105" s="213"/>
    </row>
    <row r="106" spans="2:9" hidden="1" x14ac:dyDescent="0.15">
      <c r="B106" s="206">
        <v>77</v>
      </c>
      <c r="C106" s="213"/>
      <c r="D106" s="213"/>
    </row>
    <row r="107" spans="2:9" hidden="1" x14ac:dyDescent="0.15">
      <c r="B107" s="208">
        <v>78</v>
      </c>
      <c r="C107" s="213"/>
      <c r="D107" s="213"/>
    </row>
    <row r="108" spans="2:9" hidden="1" x14ac:dyDescent="0.15">
      <c r="B108" s="206">
        <v>79</v>
      </c>
      <c r="C108" s="213"/>
      <c r="D108" s="213"/>
    </row>
    <row r="109" spans="2:9" hidden="1" x14ac:dyDescent="0.15">
      <c r="B109" s="206">
        <v>80</v>
      </c>
      <c r="C109" s="213"/>
      <c r="D109" s="213"/>
    </row>
    <row r="110" spans="2:9" hidden="1" x14ac:dyDescent="0.15">
      <c r="B110" s="206">
        <v>81</v>
      </c>
      <c r="C110" s="213"/>
      <c r="D110" s="213"/>
    </row>
    <row r="111" spans="2:9" hidden="1" x14ac:dyDescent="0.15">
      <c r="B111" s="208">
        <v>82</v>
      </c>
      <c r="C111" s="213"/>
      <c r="D111" s="213"/>
    </row>
    <row r="112" spans="2:9" hidden="1" x14ac:dyDescent="0.15">
      <c r="B112" s="206">
        <v>83</v>
      </c>
      <c r="C112" s="213"/>
      <c r="D112" s="213"/>
    </row>
    <row r="113" spans="2:4" hidden="1" x14ac:dyDescent="0.15">
      <c r="B113" s="206">
        <v>84</v>
      </c>
      <c r="C113" s="213"/>
      <c r="D113" s="213"/>
    </row>
    <row r="114" spans="2:4" hidden="1" x14ac:dyDescent="0.15">
      <c r="B114" s="206">
        <v>85</v>
      </c>
      <c r="C114" s="213"/>
      <c r="D114" s="213"/>
    </row>
    <row r="115" spans="2:4" hidden="1" x14ac:dyDescent="0.15">
      <c r="B115" s="208">
        <v>86</v>
      </c>
      <c r="C115" s="213"/>
      <c r="D115" s="213"/>
    </row>
    <row r="116" spans="2:4" hidden="1" x14ac:dyDescent="0.15">
      <c r="B116" s="206">
        <v>87</v>
      </c>
      <c r="C116" s="213"/>
      <c r="D116" s="213"/>
    </row>
    <row r="117" spans="2:4" hidden="1" x14ac:dyDescent="0.15">
      <c r="B117" s="206">
        <v>88</v>
      </c>
      <c r="C117" s="213"/>
      <c r="D117" s="213"/>
    </row>
    <row r="118" spans="2:4" hidden="1" x14ac:dyDescent="0.15">
      <c r="B118" s="206">
        <v>89</v>
      </c>
      <c r="C118" s="213"/>
      <c r="D118" s="213"/>
    </row>
    <row r="119" spans="2:4" hidden="1" x14ac:dyDescent="0.15">
      <c r="B119" s="208">
        <v>90</v>
      </c>
      <c r="C119" s="213"/>
      <c r="D119" s="213"/>
    </row>
    <row r="120" spans="2:4" hidden="1" x14ac:dyDescent="0.15">
      <c r="B120" s="206">
        <v>91</v>
      </c>
      <c r="C120" s="213"/>
      <c r="D120" s="213"/>
    </row>
    <row r="121" spans="2:4" hidden="1" x14ac:dyDescent="0.15">
      <c r="B121" s="206">
        <v>92</v>
      </c>
      <c r="C121" s="213"/>
      <c r="D121" s="213"/>
    </row>
    <row r="122" spans="2:4" hidden="1" x14ac:dyDescent="0.15">
      <c r="B122" s="206">
        <v>93</v>
      </c>
      <c r="C122" s="213"/>
      <c r="D122" s="213"/>
    </row>
    <row r="123" spans="2:4" hidden="1" x14ac:dyDescent="0.15">
      <c r="B123" s="208">
        <v>94</v>
      </c>
      <c r="C123" s="213"/>
      <c r="D123" s="213"/>
    </row>
    <row r="124" spans="2:4" hidden="1" x14ac:dyDescent="0.15">
      <c r="B124" s="206">
        <v>95</v>
      </c>
      <c r="C124" s="213"/>
      <c r="D124" s="213"/>
    </row>
    <row r="125" spans="2:4" hidden="1" x14ac:dyDescent="0.15">
      <c r="B125" s="206">
        <v>96</v>
      </c>
      <c r="C125" s="213"/>
      <c r="D125" s="213"/>
    </row>
    <row r="126" spans="2:4" hidden="1" x14ac:dyDescent="0.15">
      <c r="B126" s="206">
        <v>97</v>
      </c>
      <c r="C126" s="213"/>
      <c r="D126" s="213"/>
    </row>
    <row r="127" spans="2:4" hidden="1" x14ac:dyDescent="0.15">
      <c r="B127" s="208">
        <v>98</v>
      </c>
      <c r="C127" s="213"/>
      <c r="D127" s="213"/>
    </row>
    <row r="128" spans="2:4" hidden="1" x14ac:dyDescent="0.15">
      <c r="B128" s="206">
        <v>99</v>
      </c>
      <c r="C128" s="213"/>
      <c r="D128" s="213"/>
    </row>
    <row r="129" spans="2:4" hidden="1" x14ac:dyDescent="0.15">
      <c r="B129" s="206">
        <v>100</v>
      </c>
      <c r="C129" s="213"/>
      <c r="D129" s="213"/>
    </row>
    <row r="130" spans="2:4" hidden="1" x14ac:dyDescent="0.15">
      <c r="B130" s="206">
        <v>101</v>
      </c>
      <c r="C130" s="213"/>
      <c r="D130" s="213"/>
    </row>
    <row r="131" spans="2:4" hidden="1" x14ac:dyDescent="0.15">
      <c r="B131" s="208">
        <v>102</v>
      </c>
      <c r="C131" s="213"/>
      <c r="D131" s="213"/>
    </row>
    <row r="132" spans="2:4" hidden="1" x14ac:dyDescent="0.15">
      <c r="B132" s="206">
        <v>103</v>
      </c>
      <c r="C132" s="213"/>
      <c r="D132" s="213"/>
    </row>
    <row r="133" spans="2:4" hidden="1" x14ac:dyDescent="0.15">
      <c r="B133" s="206">
        <v>104</v>
      </c>
      <c r="C133" s="213"/>
      <c r="D133" s="213"/>
    </row>
    <row r="134" spans="2:4" hidden="1" x14ac:dyDescent="0.15">
      <c r="B134" s="206">
        <v>105</v>
      </c>
      <c r="C134" s="213"/>
      <c r="D134" s="213"/>
    </row>
    <row r="135" spans="2:4" hidden="1" x14ac:dyDescent="0.15">
      <c r="B135" s="208">
        <v>106</v>
      </c>
      <c r="C135" s="213"/>
      <c r="D135" s="213"/>
    </row>
    <row r="136" spans="2:4" hidden="1" x14ac:dyDescent="0.15">
      <c r="B136" s="206">
        <v>107</v>
      </c>
      <c r="C136" s="213"/>
      <c r="D136" s="213"/>
    </row>
    <row r="137" spans="2:4" hidden="1" x14ac:dyDescent="0.15">
      <c r="B137" s="206">
        <v>108</v>
      </c>
      <c r="C137" s="213"/>
      <c r="D137" s="213"/>
    </row>
    <row r="138" spans="2:4" hidden="1" x14ac:dyDescent="0.15">
      <c r="B138" s="206">
        <v>109</v>
      </c>
      <c r="C138" s="213"/>
      <c r="D138" s="213"/>
    </row>
    <row r="139" spans="2:4" hidden="1" x14ac:dyDescent="0.15">
      <c r="B139" s="208">
        <v>110</v>
      </c>
      <c r="C139" s="213"/>
      <c r="D139" s="213"/>
    </row>
    <row r="140" spans="2:4" hidden="1" x14ac:dyDescent="0.15">
      <c r="B140" s="206">
        <v>111</v>
      </c>
      <c r="C140" s="213"/>
      <c r="D140" s="213"/>
    </row>
    <row r="141" spans="2:4" hidden="1" x14ac:dyDescent="0.15">
      <c r="B141" s="206">
        <v>112</v>
      </c>
      <c r="C141" s="213"/>
      <c r="D141" s="213"/>
    </row>
    <row r="142" spans="2:4" hidden="1" x14ac:dyDescent="0.15">
      <c r="B142" s="206">
        <v>113</v>
      </c>
      <c r="C142" s="213"/>
      <c r="D142" s="213"/>
    </row>
    <row r="143" spans="2:4" hidden="1" x14ac:dyDescent="0.15">
      <c r="B143" s="208">
        <v>114</v>
      </c>
      <c r="C143" s="213"/>
      <c r="D143" s="213"/>
    </row>
    <row r="144" spans="2:4" hidden="1" x14ac:dyDescent="0.15">
      <c r="B144" s="206">
        <v>115</v>
      </c>
      <c r="C144" s="213"/>
      <c r="D144" s="213"/>
    </row>
    <row r="145" spans="2:4" hidden="1" x14ac:dyDescent="0.15">
      <c r="B145" s="206">
        <v>116</v>
      </c>
      <c r="C145" s="213"/>
      <c r="D145" s="213"/>
    </row>
    <row r="146" spans="2:4" hidden="1" x14ac:dyDescent="0.15">
      <c r="B146" s="206">
        <v>117</v>
      </c>
      <c r="C146" s="213"/>
      <c r="D146" s="213"/>
    </row>
    <row r="147" spans="2:4" hidden="1" x14ac:dyDescent="0.15">
      <c r="B147" s="208">
        <v>118</v>
      </c>
      <c r="C147" s="213"/>
      <c r="D147" s="213"/>
    </row>
    <row r="148" spans="2:4" hidden="1" x14ac:dyDescent="0.15">
      <c r="B148" s="206">
        <v>119</v>
      </c>
      <c r="C148" s="213"/>
      <c r="D148" s="213"/>
    </row>
    <row r="149" spans="2:4" hidden="1" x14ac:dyDescent="0.15">
      <c r="B149" s="206">
        <v>120</v>
      </c>
      <c r="C149" s="213"/>
      <c r="D149" s="213"/>
    </row>
    <row r="150" spans="2:4" hidden="1" x14ac:dyDescent="0.15">
      <c r="B150" s="206">
        <v>121</v>
      </c>
      <c r="C150" s="213"/>
      <c r="D150" s="213"/>
    </row>
    <row r="151" spans="2:4" hidden="1" x14ac:dyDescent="0.15">
      <c r="B151" s="208">
        <v>122</v>
      </c>
      <c r="C151" s="213"/>
      <c r="D151" s="213"/>
    </row>
    <row r="152" spans="2:4" hidden="1" x14ac:dyDescent="0.15">
      <c r="B152" s="206">
        <v>123</v>
      </c>
      <c r="C152" s="213"/>
      <c r="D152" s="213"/>
    </row>
    <row r="153" spans="2:4" hidden="1" x14ac:dyDescent="0.15">
      <c r="B153" s="206">
        <v>124</v>
      </c>
      <c r="C153" s="213"/>
      <c r="D153" s="213"/>
    </row>
    <row r="154" spans="2:4" hidden="1" x14ac:dyDescent="0.15">
      <c r="B154" s="206">
        <v>125</v>
      </c>
      <c r="C154" s="213"/>
      <c r="D154" s="213"/>
    </row>
    <row r="155" spans="2:4" hidden="1" x14ac:dyDescent="0.15">
      <c r="B155" s="208">
        <v>126</v>
      </c>
      <c r="C155" s="213"/>
      <c r="D155" s="213"/>
    </row>
    <row r="156" spans="2:4" hidden="1" x14ac:dyDescent="0.15">
      <c r="B156" s="206">
        <v>127</v>
      </c>
      <c r="C156" s="213"/>
      <c r="D156" s="213"/>
    </row>
    <row r="157" spans="2:4" hidden="1" x14ac:dyDescent="0.15">
      <c r="B157" s="206">
        <v>128</v>
      </c>
      <c r="C157" s="213"/>
      <c r="D157" s="213"/>
    </row>
    <row r="158" spans="2:4" hidden="1" x14ac:dyDescent="0.15">
      <c r="B158" s="206">
        <v>129</v>
      </c>
      <c r="C158" s="213"/>
      <c r="D158" s="213"/>
    </row>
    <row r="159" spans="2:4" hidden="1" x14ac:dyDescent="0.15">
      <c r="B159" s="208">
        <v>130</v>
      </c>
      <c r="C159" s="213"/>
      <c r="D159" s="213"/>
    </row>
    <row r="160" spans="2:4" hidden="1" x14ac:dyDescent="0.15">
      <c r="B160" s="206">
        <v>131</v>
      </c>
      <c r="C160" s="213"/>
      <c r="D160" s="213"/>
    </row>
    <row r="161" spans="2:4" hidden="1" x14ac:dyDescent="0.15">
      <c r="B161" s="206">
        <v>132</v>
      </c>
      <c r="C161" s="213"/>
      <c r="D161" s="213"/>
    </row>
    <row r="162" spans="2:4" hidden="1" x14ac:dyDescent="0.15">
      <c r="B162" s="206">
        <v>133</v>
      </c>
      <c r="C162" s="213"/>
      <c r="D162" s="213"/>
    </row>
    <row r="163" spans="2:4" hidden="1" x14ac:dyDescent="0.15">
      <c r="B163" s="208">
        <v>134</v>
      </c>
      <c r="C163" s="213"/>
      <c r="D163" s="213"/>
    </row>
    <row r="164" spans="2:4" hidden="1" x14ac:dyDescent="0.15">
      <c r="B164" s="206">
        <v>135</v>
      </c>
      <c r="C164" s="213"/>
      <c r="D164" s="213"/>
    </row>
    <row r="165" spans="2:4" hidden="1" x14ac:dyDescent="0.15">
      <c r="B165" s="206">
        <v>136</v>
      </c>
      <c r="C165" s="213"/>
      <c r="D165" s="213"/>
    </row>
    <row r="166" spans="2:4" hidden="1" x14ac:dyDescent="0.15">
      <c r="B166" s="206">
        <v>137</v>
      </c>
      <c r="C166" s="213"/>
      <c r="D166" s="213"/>
    </row>
    <row r="167" spans="2:4" hidden="1" x14ac:dyDescent="0.15">
      <c r="B167" s="208">
        <v>138</v>
      </c>
      <c r="C167" s="213"/>
      <c r="D167" s="213"/>
    </row>
    <row r="168" spans="2:4" hidden="1" x14ac:dyDescent="0.15">
      <c r="B168" s="206">
        <v>139</v>
      </c>
      <c r="C168" s="213"/>
      <c r="D168" s="213"/>
    </row>
    <row r="169" spans="2:4" hidden="1" x14ac:dyDescent="0.15">
      <c r="B169" s="206">
        <v>140</v>
      </c>
      <c r="C169" s="213"/>
      <c r="D169" s="213"/>
    </row>
    <row r="170" spans="2:4" hidden="1" x14ac:dyDescent="0.15">
      <c r="B170" s="206">
        <v>141</v>
      </c>
      <c r="C170" s="213"/>
      <c r="D170" s="213"/>
    </row>
    <row r="171" spans="2:4" hidden="1" x14ac:dyDescent="0.15">
      <c r="B171" s="208">
        <v>142</v>
      </c>
      <c r="C171" s="213"/>
      <c r="D171" s="213"/>
    </row>
    <row r="172" spans="2:4" hidden="1" x14ac:dyDescent="0.15">
      <c r="B172" s="206">
        <v>143</v>
      </c>
      <c r="C172" s="213"/>
      <c r="D172" s="213"/>
    </row>
    <row r="173" spans="2:4" hidden="1" x14ac:dyDescent="0.15">
      <c r="B173" s="206">
        <v>144</v>
      </c>
      <c r="C173" s="213"/>
      <c r="D173" s="213"/>
    </row>
    <row r="174" spans="2:4" hidden="1" x14ac:dyDescent="0.15">
      <c r="B174" s="206">
        <v>145</v>
      </c>
      <c r="C174" s="213"/>
      <c r="D174" s="213"/>
    </row>
    <row r="175" spans="2:4" hidden="1" x14ac:dyDescent="0.15">
      <c r="B175" s="208">
        <v>146</v>
      </c>
      <c r="C175" s="213"/>
      <c r="D175" s="213"/>
    </row>
    <row r="176" spans="2:4" hidden="1" x14ac:dyDescent="0.15">
      <c r="B176" s="206">
        <v>147</v>
      </c>
      <c r="C176" s="213"/>
      <c r="D176" s="213"/>
    </row>
    <row r="177" spans="2:4" hidden="1" x14ac:dyDescent="0.15">
      <c r="B177" s="206">
        <v>148</v>
      </c>
      <c r="C177" s="213"/>
      <c r="D177" s="213"/>
    </row>
    <row r="178" spans="2:4" hidden="1" x14ac:dyDescent="0.15">
      <c r="B178" s="206">
        <v>149</v>
      </c>
      <c r="C178" s="213"/>
      <c r="D178" s="213"/>
    </row>
    <row r="179" spans="2:4" hidden="1" x14ac:dyDescent="0.15">
      <c r="B179" s="208">
        <v>150</v>
      </c>
      <c r="C179" s="213"/>
      <c r="D179" s="213"/>
    </row>
    <row r="180" spans="2:4" hidden="1" x14ac:dyDescent="0.15">
      <c r="B180" s="206">
        <v>151</v>
      </c>
      <c r="C180" s="213"/>
      <c r="D180" s="213"/>
    </row>
    <row r="181" spans="2:4" hidden="1" x14ac:dyDescent="0.15">
      <c r="B181" s="206">
        <v>152</v>
      </c>
      <c r="C181" s="213"/>
      <c r="D181" s="213"/>
    </row>
    <row r="182" spans="2:4" hidden="1" x14ac:dyDescent="0.15">
      <c r="B182" s="206">
        <v>153</v>
      </c>
      <c r="C182" s="213"/>
      <c r="D182" s="213"/>
    </row>
    <row r="183" spans="2:4" hidden="1" x14ac:dyDescent="0.15">
      <c r="B183" s="208">
        <v>154</v>
      </c>
      <c r="C183" s="213"/>
      <c r="D183" s="213"/>
    </row>
    <row r="184" spans="2:4" hidden="1" x14ac:dyDescent="0.15">
      <c r="B184" s="206">
        <v>155</v>
      </c>
      <c r="C184" s="213"/>
      <c r="D184" s="213"/>
    </row>
    <row r="185" spans="2:4" hidden="1" x14ac:dyDescent="0.15">
      <c r="B185" s="206">
        <v>156</v>
      </c>
      <c r="C185" s="213"/>
      <c r="D185" s="213"/>
    </row>
    <row r="186" spans="2:4" hidden="1" x14ac:dyDescent="0.15">
      <c r="B186" s="206">
        <v>157</v>
      </c>
      <c r="C186" s="213"/>
      <c r="D186" s="213"/>
    </row>
    <row r="187" spans="2:4" hidden="1" x14ac:dyDescent="0.15">
      <c r="B187" s="208">
        <v>158</v>
      </c>
      <c r="C187" s="213"/>
      <c r="D187" s="213"/>
    </row>
    <row r="188" spans="2:4" hidden="1" x14ac:dyDescent="0.15">
      <c r="B188" s="206">
        <v>159</v>
      </c>
      <c r="C188" s="213"/>
      <c r="D188" s="213"/>
    </row>
    <row r="189" spans="2:4" hidden="1" x14ac:dyDescent="0.15">
      <c r="B189" s="206">
        <v>160</v>
      </c>
      <c r="C189" s="213"/>
      <c r="D189" s="213"/>
    </row>
    <row r="190" spans="2:4" hidden="1" x14ac:dyDescent="0.15">
      <c r="B190" s="206">
        <v>161</v>
      </c>
      <c r="C190" s="213"/>
      <c r="D190" s="213"/>
    </row>
    <row r="191" spans="2:4" hidden="1" x14ac:dyDescent="0.15">
      <c r="B191" s="208">
        <v>162</v>
      </c>
      <c r="C191" s="213"/>
      <c r="D191" s="213"/>
    </row>
    <row r="192" spans="2:4" hidden="1" x14ac:dyDescent="0.15">
      <c r="B192" s="206">
        <v>163</v>
      </c>
      <c r="C192" s="213"/>
      <c r="D192" s="213"/>
    </row>
    <row r="193" spans="2:4" hidden="1" x14ac:dyDescent="0.15">
      <c r="B193" s="206">
        <v>164</v>
      </c>
      <c r="C193" s="213"/>
      <c r="D193" s="213"/>
    </row>
    <row r="194" spans="2:4" hidden="1" x14ac:dyDescent="0.15">
      <c r="B194" s="206">
        <v>165</v>
      </c>
      <c r="C194" s="213"/>
      <c r="D194" s="213"/>
    </row>
    <row r="195" spans="2:4" hidden="1" x14ac:dyDescent="0.15">
      <c r="B195" s="208">
        <v>166</v>
      </c>
      <c r="C195" s="213"/>
      <c r="D195" s="213"/>
    </row>
    <row r="196" spans="2:4" hidden="1" x14ac:dyDescent="0.15">
      <c r="B196" s="206">
        <v>167</v>
      </c>
      <c r="C196" s="213"/>
      <c r="D196" s="213"/>
    </row>
    <row r="197" spans="2:4" hidden="1" x14ac:dyDescent="0.15">
      <c r="B197" s="206">
        <v>168</v>
      </c>
      <c r="C197" s="213"/>
      <c r="D197" s="213"/>
    </row>
    <row r="198" spans="2:4" hidden="1" x14ac:dyDescent="0.15">
      <c r="B198" s="206">
        <v>169</v>
      </c>
      <c r="C198" s="213"/>
      <c r="D198" s="213"/>
    </row>
    <row r="199" spans="2:4" hidden="1" x14ac:dyDescent="0.15">
      <c r="B199" s="208">
        <v>170</v>
      </c>
      <c r="C199" s="213"/>
      <c r="D199" s="213"/>
    </row>
    <row r="200" spans="2:4" hidden="1" x14ac:dyDescent="0.15">
      <c r="B200" s="206">
        <v>171</v>
      </c>
      <c r="C200" s="213"/>
      <c r="D200" s="213"/>
    </row>
    <row r="201" spans="2:4" hidden="1" x14ac:dyDescent="0.15">
      <c r="B201" s="206">
        <v>172</v>
      </c>
      <c r="C201" s="213"/>
      <c r="D201" s="213"/>
    </row>
    <row r="202" spans="2:4" hidden="1" x14ac:dyDescent="0.15">
      <c r="B202" s="206">
        <v>173</v>
      </c>
      <c r="C202" s="213"/>
      <c r="D202" s="213"/>
    </row>
    <row r="203" spans="2:4" hidden="1" x14ac:dyDescent="0.15">
      <c r="B203" s="208">
        <v>174</v>
      </c>
      <c r="C203" s="213"/>
      <c r="D203" s="213"/>
    </row>
    <row r="204" spans="2:4" hidden="1" x14ac:dyDescent="0.15">
      <c r="B204" s="206">
        <v>175</v>
      </c>
      <c r="C204" s="213"/>
      <c r="D204" s="213"/>
    </row>
    <row r="205" spans="2:4" hidden="1" x14ac:dyDescent="0.15">
      <c r="B205" s="206">
        <v>176</v>
      </c>
      <c r="C205" s="213"/>
      <c r="D205" s="213"/>
    </row>
    <row r="206" spans="2:4" hidden="1" x14ac:dyDescent="0.15">
      <c r="B206" s="206">
        <v>177</v>
      </c>
      <c r="C206" s="213"/>
      <c r="D206" s="213"/>
    </row>
    <row r="207" spans="2:4" hidden="1" x14ac:dyDescent="0.15">
      <c r="B207" s="208">
        <v>178</v>
      </c>
      <c r="C207" s="213"/>
      <c r="D207" s="213"/>
    </row>
    <row r="208" spans="2:4" hidden="1" x14ac:dyDescent="0.15">
      <c r="B208" s="206">
        <v>179</v>
      </c>
      <c r="C208" s="213"/>
      <c r="D208" s="213"/>
    </row>
    <row r="209" spans="2:4" hidden="1" x14ac:dyDescent="0.15">
      <c r="B209" s="206">
        <v>180</v>
      </c>
      <c r="C209" s="213"/>
      <c r="D209" s="213"/>
    </row>
    <row r="210" spans="2:4" hidden="1" x14ac:dyDescent="0.15">
      <c r="B210" s="206">
        <v>181</v>
      </c>
      <c r="C210" s="213"/>
      <c r="D210" s="213"/>
    </row>
    <row r="211" spans="2:4" hidden="1" x14ac:dyDescent="0.15">
      <c r="B211" s="208">
        <v>182</v>
      </c>
      <c r="C211" s="213"/>
      <c r="D211" s="213"/>
    </row>
    <row r="212" spans="2:4" hidden="1" x14ac:dyDescent="0.15">
      <c r="B212" s="206">
        <v>183</v>
      </c>
      <c r="C212" s="213"/>
      <c r="D212" s="213"/>
    </row>
    <row r="213" spans="2:4" hidden="1" x14ac:dyDescent="0.15">
      <c r="B213" s="206">
        <v>184</v>
      </c>
      <c r="C213" s="213"/>
      <c r="D213" s="213"/>
    </row>
    <row r="214" spans="2:4" hidden="1" x14ac:dyDescent="0.15">
      <c r="B214" s="206">
        <v>185</v>
      </c>
      <c r="C214" s="213"/>
      <c r="D214" s="213"/>
    </row>
    <row r="215" spans="2:4" hidden="1" x14ac:dyDescent="0.15">
      <c r="B215" s="208">
        <v>186</v>
      </c>
      <c r="C215" s="213"/>
      <c r="D215" s="213"/>
    </row>
    <row r="216" spans="2:4" hidden="1" x14ac:dyDescent="0.15">
      <c r="B216" s="206">
        <v>187</v>
      </c>
      <c r="C216" s="213"/>
      <c r="D216" s="213"/>
    </row>
    <row r="217" spans="2:4" hidden="1" x14ac:dyDescent="0.15">
      <c r="B217" s="206">
        <v>188</v>
      </c>
      <c r="C217" s="213"/>
      <c r="D217" s="213"/>
    </row>
    <row r="218" spans="2:4" hidden="1" x14ac:dyDescent="0.15">
      <c r="B218" s="206">
        <v>189</v>
      </c>
      <c r="C218" s="213"/>
      <c r="D218" s="213"/>
    </row>
    <row r="219" spans="2:4" hidden="1" x14ac:dyDescent="0.15">
      <c r="B219" s="208">
        <v>190</v>
      </c>
      <c r="C219" s="213"/>
      <c r="D219" s="213"/>
    </row>
    <row r="220" spans="2:4" hidden="1" x14ac:dyDescent="0.15">
      <c r="B220" s="206">
        <v>191</v>
      </c>
      <c r="C220" s="213"/>
      <c r="D220" s="213"/>
    </row>
    <row r="221" spans="2:4" hidden="1" x14ac:dyDescent="0.15">
      <c r="B221" s="206">
        <v>192</v>
      </c>
      <c r="C221" s="213"/>
      <c r="D221" s="213"/>
    </row>
    <row r="222" spans="2:4" hidden="1" x14ac:dyDescent="0.15">
      <c r="B222" s="206">
        <v>193</v>
      </c>
      <c r="C222" s="213"/>
      <c r="D222" s="213"/>
    </row>
    <row r="223" spans="2:4" hidden="1" x14ac:dyDescent="0.15">
      <c r="B223" s="208">
        <v>194</v>
      </c>
      <c r="C223" s="213"/>
      <c r="D223" s="213"/>
    </row>
    <row r="224" spans="2:4" hidden="1" x14ac:dyDescent="0.15">
      <c r="B224" s="206">
        <v>195</v>
      </c>
      <c r="C224" s="213"/>
      <c r="D224" s="213"/>
    </row>
    <row r="225" spans="2:4" hidden="1" x14ac:dyDescent="0.15">
      <c r="B225" s="206">
        <v>196</v>
      </c>
      <c r="C225" s="213"/>
      <c r="D225" s="213"/>
    </row>
    <row r="226" spans="2:4" hidden="1" x14ac:dyDescent="0.15">
      <c r="B226" s="206">
        <v>197</v>
      </c>
      <c r="C226" s="213"/>
      <c r="D226" s="213"/>
    </row>
    <row r="227" spans="2:4" hidden="1" x14ac:dyDescent="0.15">
      <c r="B227" s="208">
        <v>198</v>
      </c>
      <c r="C227" s="213"/>
      <c r="D227" s="213"/>
    </row>
    <row r="228" spans="2:4" hidden="1" x14ac:dyDescent="0.15">
      <c r="B228" s="206">
        <v>199</v>
      </c>
      <c r="C228" s="213"/>
      <c r="D228" s="213"/>
    </row>
    <row r="229" spans="2:4" hidden="1" x14ac:dyDescent="0.15">
      <c r="B229" s="206">
        <v>200</v>
      </c>
      <c r="C229" s="213"/>
      <c r="D229" s="213"/>
    </row>
    <row r="230" spans="2:4" hidden="1" x14ac:dyDescent="0.15">
      <c r="B230" s="206">
        <v>201</v>
      </c>
      <c r="C230" s="213"/>
      <c r="D230" s="213"/>
    </row>
    <row r="231" spans="2:4" hidden="1" x14ac:dyDescent="0.15">
      <c r="B231" s="208">
        <v>202</v>
      </c>
      <c r="C231" s="213"/>
      <c r="D231" s="213"/>
    </row>
    <row r="232" spans="2:4" hidden="1" x14ac:dyDescent="0.15">
      <c r="B232" s="206">
        <v>203</v>
      </c>
      <c r="C232" s="213"/>
      <c r="D232" s="213"/>
    </row>
    <row r="233" spans="2:4" hidden="1" x14ac:dyDescent="0.15">
      <c r="B233" s="206">
        <v>204</v>
      </c>
      <c r="C233" s="213"/>
      <c r="D233" s="213"/>
    </row>
    <row r="234" spans="2:4" hidden="1" x14ac:dyDescent="0.15">
      <c r="B234" s="206">
        <v>205</v>
      </c>
      <c r="C234" s="213"/>
      <c r="D234" s="213"/>
    </row>
    <row r="235" spans="2:4" hidden="1" x14ac:dyDescent="0.15">
      <c r="B235" s="208">
        <v>206</v>
      </c>
      <c r="C235" s="213"/>
      <c r="D235" s="213"/>
    </row>
    <row r="236" spans="2:4" hidden="1" x14ac:dyDescent="0.15">
      <c r="B236" s="206">
        <v>207</v>
      </c>
      <c r="C236" s="213"/>
      <c r="D236" s="213"/>
    </row>
    <row r="237" spans="2:4" hidden="1" x14ac:dyDescent="0.15">
      <c r="B237" s="206">
        <v>208</v>
      </c>
      <c r="C237" s="213"/>
      <c r="D237" s="213"/>
    </row>
    <row r="238" spans="2:4" hidden="1" x14ac:dyDescent="0.15">
      <c r="B238" s="206">
        <v>209</v>
      </c>
      <c r="C238" s="213"/>
      <c r="D238" s="213"/>
    </row>
    <row r="239" spans="2:4" hidden="1" x14ac:dyDescent="0.15">
      <c r="B239" s="208">
        <v>210</v>
      </c>
      <c r="C239" s="213"/>
      <c r="D239" s="213"/>
    </row>
    <row r="240" spans="2:4" hidden="1" x14ac:dyDescent="0.15">
      <c r="B240" s="206">
        <v>211</v>
      </c>
      <c r="C240" s="213"/>
      <c r="D240" s="213"/>
    </row>
    <row r="241" spans="2:4" hidden="1" x14ac:dyDescent="0.15">
      <c r="B241" s="206">
        <v>212</v>
      </c>
      <c r="C241" s="213"/>
      <c r="D241" s="213"/>
    </row>
    <row r="242" spans="2:4" hidden="1" x14ac:dyDescent="0.15">
      <c r="B242" s="206">
        <v>213</v>
      </c>
      <c r="C242" s="213"/>
      <c r="D242" s="213"/>
    </row>
    <row r="243" spans="2:4" hidden="1" x14ac:dyDescent="0.15">
      <c r="B243" s="208">
        <v>214</v>
      </c>
      <c r="C243" s="213"/>
      <c r="D243" s="213"/>
    </row>
    <row r="244" spans="2:4" hidden="1" x14ac:dyDescent="0.15">
      <c r="B244" s="206">
        <v>215</v>
      </c>
      <c r="C244" s="213"/>
      <c r="D244" s="213"/>
    </row>
    <row r="245" spans="2:4" hidden="1" x14ac:dyDescent="0.15">
      <c r="B245" s="206">
        <v>216</v>
      </c>
      <c r="C245" s="213"/>
      <c r="D245" s="213"/>
    </row>
    <row r="246" spans="2:4" hidden="1" x14ac:dyDescent="0.15">
      <c r="B246" s="206">
        <v>217</v>
      </c>
      <c r="C246" s="213"/>
      <c r="D246" s="213"/>
    </row>
    <row r="247" spans="2:4" hidden="1" x14ac:dyDescent="0.15">
      <c r="B247" s="208">
        <v>218</v>
      </c>
      <c r="C247" s="213"/>
      <c r="D247" s="213"/>
    </row>
    <row r="248" spans="2:4" hidden="1" x14ac:dyDescent="0.15">
      <c r="B248" s="206">
        <v>219</v>
      </c>
      <c r="C248" s="213"/>
      <c r="D248" s="213"/>
    </row>
    <row r="249" spans="2:4" hidden="1" x14ac:dyDescent="0.15">
      <c r="B249" s="206">
        <v>220</v>
      </c>
      <c r="C249" s="213"/>
      <c r="D249" s="213"/>
    </row>
    <row r="250" spans="2:4" hidden="1" x14ac:dyDescent="0.15">
      <c r="B250" s="206">
        <v>221</v>
      </c>
      <c r="C250" s="213"/>
      <c r="D250" s="213"/>
    </row>
    <row r="251" spans="2:4" hidden="1" x14ac:dyDescent="0.15">
      <c r="B251" s="208">
        <v>222</v>
      </c>
      <c r="C251" s="213"/>
      <c r="D251" s="213"/>
    </row>
    <row r="252" spans="2:4" hidden="1" x14ac:dyDescent="0.15">
      <c r="B252" s="206">
        <v>223</v>
      </c>
      <c r="C252" s="213"/>
      <c r="D252" s="213"/>
    </row>
    <row r="253" spans="2:4" hidden="1" x14ac:dyDescent="0.15">
      <c r="B253" s="206">
        <v>224</v>
      </c>
      <c r="C253" s="213"/>
      <c r="D253" s="213"/>
    </row>
    <row r="254" spans="2:4" hidden="1" x14ac:dyDescent="0.15">
      <c r="B254" s="206">
        <v>225</v>
      </c>
      <c r="C254" s="213"/>
      <c r="D254" s="213"/>
    </row>
    <row r="255" spans="2:4" hidden="1" x14ac:dyDescent="0.15">
      <c r="B255" s="208">
        <v>226</v>
      </c>
      <c r="C255" s="213"/>
      <c r="D255" s="213"/>
    </row>
    <row r="256" spans="2:4" hidden="1" x14ac:dyDescent="0.15">
      <c r="B256" s="206">
        <v>227</v>
      </c>
      <c r="C256" s="213"/>
      <c r="D256" s="213"/>
    </row>
    <row r="257" spans="2:4" hidden="1" x14ac:dyDescent="0.15">
      <c r="B257" s="206">
        <v>228</v>
      </c>
      <c r="C257" s="213"/>
      <c r="D257" s="213"/>
    </row>
    <row r="258" spans="2:4" hidden="1" x14ac:dyDescent="0.15">
      <c r="B258" s="206">
        <v>229</v>
      </c>
      <c r="C258" s="213"/>
      <c r="D258" s="213"/>
    </row>
    <row r="259" spans="2:4" hidden="1" x14ac:dyDescent="0.15">
      <c r="B259" s="208">
        <v>230</v>
      </c>
      <c r="C259" s="213"/>
      <c r="D259" s="213"/>
    </row>
    <row r="260" spans="2:4" hidden="1" x14ac:dyDescent="0.15">
      <c r="B260" s="206">
        <v>231</v>
      </c>
      <c r="C260" s="213"/>
      <c r="D260" s="213"/>
    </row>
    <row r="261" spans="2:4" hidden="1" x14ac:dyDescent="0.15">
      <c r="B261" s="206">
        <v>232</v>
      </c>
      <c r="C261" s="213"/>
      <c r="D261" s="213"/>
    </row>
    <row r="262" spans="2:4" hidden="1" x14ac:dyDescent="0.15">
      <c r="B262" s="206">
        <v>233</v>
      </c>
      <c r="C262" s="213"/>
      <c r="D262" s="213"/>
    </row>
    <row r="263" spans="2:4" hidden="1" x14ac:dyDescent="0.15">
      <c r="B263" s="208">
        <v>234</v>
      </c>
      <c r="C263" s="213"/>
      <c r="D263" s="213"/>
    </row>
    <row r="264" spans="2:4" hidden="1" x14ac:dyDescent="0.15">
      <c r="B264" s="206">
        <v>235</v>
      </c>
      <c r="C264" s="213"/>
      <c r="D264" s="213"/>
    </row>
    <row r="265" spans="2:4" hidden="1" x14ac:dyDescent="0.15">
      <c r="B265" s="206">
        <v>236</v>
      </c>
      <c r="C265" s="213"/>
      <c r="D265" s="213"/>
    </row>
    <row r="266" spans="2:4" hidden="1" x14ac:dyDescent="0.15">
      <c r="B266" s="206">
        <v>237</v>
      </c>
      <c r="C266" s="213"/>
      <c r="D266" s="213"/>
    </row>
    <row r="267" spans="2:4" hidden="1" x14ac:dyDescent="0.15">
      <c r="B267" s="208">
        <v>238</v>
      </c>
      <c r="C267" s="213"/>
      <c r="D267" s="213"/>
    </row>
    <row r="268" spans="2:4" hidden="1" x14ac:dyDescent="0.15">
      <c r="B268" s="206">
        <v>239</v>
      </c>
      <c r="C268" s="213"/>
      <c r="D268" s="213"/>
    </row>
    <row r="269" spans="2:4" hidden="1" x14ac:dyDescent="0.15">
      <c r="B269" s="206">
        <v>240</v>
      </c>
      <c r="C269" s="213"/>
      <c r="D269" s="213"/>
    </row>
    <row r="270" spans="2:4" hidden="1" x14ac:dyDescent="0.15">
      <c r="B270" s="206">
        <v>241</v>
      </c>
      <c r="C270" s="213"/>
      <c r="D270" s="213"/>
    </row>
    <row r="271" spans="2:4" hidden="1" x14ac:dyDescent="0.15">
      <c r="B271" s="208">
        <v>242</v>
      </c>
      <c r="C271" s="213"/>
      <c r="D271" s="213"/>
    </row>
    <row r="272" spans="2:4" hidden="1" x14ac:dyDescent="0.15">
      <c r="B272" s="206">
        <v>243</v>
      </c>
      <c r="C272" s="213"/>
      <c r="D272" s="213"/>
    </row>
    <row r="273" spans="2:4" hidden="1" x14ac:dyDescent="0.15">
      <c r="B273" s="206">
        <v>244</v>
      </c>
      <c r="C273" s="213"/>
      <c r="D273" s="213"/>
    </row>
    <row r="274" spans="2:4" hidden="1" x14ac:dyDescent="0.15">
      <c r="B274" s="206">
        <v>245</v>
      </c>
      <c r="C274" s="213"/>
      <c r="D274" s="213"/>
    </row>
    <row r="275" spans="2:4" hidden="1" x14ac:dyDescent="0.15">
      <c r="B275" s="208">
        <v>246</v>
      </c>
      <c r="C275" s="213"/>
      <c r="D275" s="213"/>
    </row>
    <row r="276" spans="2:4" hidden="1" x14ac:dyDescent="0.15">
      <c r="B276" s="206">
        <v>247</v>
      </c>
      <c r="C276" s="213"/>
      <c r="D276" s="213"/>
    </row>
    <row r="277" spans="2:4" hidden="1" x14ac:dyDescent="0.15">
      <c r="B277" s="206">
        <v>248</v>
      </c>
      <c r="C277" s="213"/>
      <c r="D277" s="213"/>
    </row>
    <row r="278" spans="2:4" hidden="1" x14ac:dyDescent="0.15">
      <c r="B278" s="206">
        <v>249</v>
      </c>
      <c r="C278" s="213"/>
      <c r="D278" s="213"/>
    </row>
    <row r="279" spans="2:4" hidden="1" x14ac:dyDescent="0.15">
      <c r="B279" s="208">
        <v>250</v>
      </c>
      <c r="C279" s="213"/>
      <c r="D279" s="213"/>
    </row>
    <row r="280" spans="2:4" hidden="1" x14ac:dyDescent="0.15">
      <c r="B280" s="206">
        <v>251</v>
      </c>
      <c r="C280" s="213"/>
      <c r="D280" s="213"/>
    </row>
    <row r="281" spans="2:4" hidden="1" x14ac:dyDescent="0.15">
      <c r="B281" s="206">
        <v>252</v>
      </c>
      <c r="C281" s="213"/>
      <c r="D281" s="213"/>
    </row>
    <row r="282" spans="2:4" hidden="1" x14ac:dyDescent="0.15">
      <c r="B282" s="206">
        <v>253</v>
      </c>
      <c r="C282" s="213"/>
      <c r="D282" s="213"/>
    </row>
    <row r="283" spans="2:4" hidden="1" x14ac:dyDescent="0.15">
      <c r="B283" s="208">
        <v>254</v>
      </c>
      <c r="C283" s="213"/>
      <c r="D283" s="213"/>
    </row>
    <row r="284" spans="2:4" hidden="1" x14ac:dyDescent="0.15">
      <c r="B284" s="206">
        <v>255</v>
      </c>
      <c r="C284" s="213"/>
      <c r="D284" s="213"/>
    </row>
    <row r="285" spans="2:4" hidden="1" x14ac:dyDescent="0.15">
      <c r="B285" s="206">
        <v>256</v>
      </c>
      <c r="C285" s="213"/>
      <c r="D285" s="213"/>
    </row>
    <row r="286" spans="2:4" hidden="1" x14ac:dyDescent="0.15">
      <c r="B286" s="206">
        <v>257</v>
      </c>
      <c r="C286" s="213"/>
      <c r="D286" s="213"/>
    </row>
    <row r="287" spans="2:4" hidden="1" x14ac:dyDescent="0.15">
      <c r="B287" s="208">
        <v>258</v>
      </c>
      <c r="C287" s="213"/>
      <c r="D287" s="213"/>
    </row>
    <row r="288" spans="2:4" hidden="1" x14ac:dyDescent="0.15">
      <c r="B288" s="206">
        <v>259</v>
      </c>
      <c r="C288" s="213"/>
      <c r="D288" s="213"/>
    </row>
    <row r="289" spans="2:4" hidden="1" x14ac:dyDescent="0.15">
      <c r="B289" s="206">
        <v>260</v>
      </c>
      <c r="C289" s="213"/>
      <c r="D289" s="213"/>
    </row>
    <row r="290" spans="2:4" hidden="1" x14ac:dyDescent="0.15">
      <c r="B290" s="206">
        <v>261</v>
      </c>
      <c r="C290" s="213"/>
      <c r="D290" s="213"/>
    </row>
    <row r="291" spans="2:4" hidden="1" x14ac:dyDescent="0.15">
      <c r="B291" s="208">
        <v>262</v>
      </c>
      <c r="C291" s="213"/>
      <c r="D291" s="213"/>
    </row>
    <row r="292" spans="2:4" hidden="1" x14ac:dyDescent="0.15">
      <c r="B292" s="206">
        <v>263</v>
      </c>
      <c r="C292" s="213"/>
      <c r="D292" s="213"/>
    </row>
    <row r="293" spans="2:4" hidden="1" x14ac:dyDescent="0.15">
      <c r="B293" s="206">
        <v>264</v>
      </c>
      <c r="C293" s="213"/>
      <c r="D293" s="213"/>
    </row>
    <row r="294" spans="2:4" hidden="1" x14ac:dyDescent="0.15">
      <c r="B294" s="206">
        <v>265</v>
      </c>
      <c r="C294" s="213"/>
      <c r="D294" s="213"/>
    </row>
    <row r="295" spans="2:4" hidden="1" x14ac:dyDescent="0.15">
      <c r="B295" s="208">
        <v>266</v>
      </c>
      <c r="C295" s="213"/>
      <c r="D295" s="213"/>
    </row>
    <row r="296" spans="2:4" hidden="1" x14ac:dyDescent="0.15">
      <c r="B296" s="206">
        <v>267</v>
      </c>
      <c r="C296" s="213"/>
      <c r="D296" s="213"/>
    </row>
    <row r="297" spans="2:4" hidden="1" x14ac:dyDescent="0.15">
      <c r="B297" s="206">
        <v>268</v>
      </c>
      <c r="C297" s="213"/>
      <c r="D297" s="213"/>
    </row>
    <row r="298" spans="2:4" hidden="1" x14ac:dyDescent="0.15">
      <c r="B298" s="206">
        <v>269</v>
      </c>
      <c r="C298" s="213"/>
      <c r="D298" s="213"/>
    </row>
    <row r="299" spans="2:4" hidden="1" x14ac:dyDescent="0.15">
      <c r="B299" s="208">
        <v>270</v>
      </c>
      <c r="C299" s="213"/>
      <c r="D299" s="213"/>
    </row>
    <row r="300" spans="2:4" hidden="1" x14ac:dyDescent="0.15">
      <c r="B300" s="206">
        <v>271</v>
      </c>
      <c r="C300" s="213"/>
      <c r="D300" s="213"/>
    </row>
    <row r="301" spans="2:4" hidden="1" x14ac:dyDescent="0.15">
      <c r="B301" s="206">
        <v>272</v>
      </c>
      <c r="C301" s="213"/>
      <c r="D301" s="213"/>
    </row>
    <row r="302" spans="2:4" hidden="1" x14ac:dyDescent="0.15">
      <c r="B302" s="206">
        <v>273</v>
      </c>
      <c r="C302" s="213"/>
      <c r="D302" s="213"/>
    </row>
    <row r="303" spans="2:4" hidden="1" x14ac:dyDescent="0.15">
      <c r="B303" s="208">
        <v>274</v>
      </c>
      <c r="C303" s="213"/>
      <c r="D303" s="213"/>
    </row>
    <row r="304" spans="2:4" hidden="1" x14ac:dyDescent="0.15">
      <c r="B304" s="206">
        <v>275</v>
      </c>
      <c r="C304" s="213"/>
      <c r="D304" s="213"/>
    </row>
    <row r="305" spans="2:4" hidden="1" x14ac:dyDescent="0.15">
      <c r="B305" s="206">
        <v>276</v>
      </c>
      <c r="C305" s="213"/>
      <c r="D305" s="213"/>
    </row>
    <row r="306" spans="2:4" hidden="1" x14ac:dyDescent="0.15">
      <c r="B306" s="206">
        <v>277</v>
      </c>
      <c r="C306" s="213"/>
      <c r="D306" s="213"/>
    </row>
    <row r="307" spans="2:4" hidden="1" x14ac:dyDescent="0.15">
      <c r="B307" s="208">
        <v>278</v>
      </c>
      <c r="C307" s="213"/>
      <c r="D307" s="213"/>
    </row>
    <row r="308" spans="2:4" hidden="1" x14ac:dyDescent="0.15">
      <c r="B308" s="206">
        <v>279</v>
      </c>
      <c r="C308" s="213"/>
      <c r="D308" s="213"/>
    </row>
    <row r="309" spans="2:4" hidden="1" x14ac:dyDescent="0.15">
      <c r="B309" s="206">
        <v>280</v>
      </c>
      <c r="C309" s="213"/>
      <c r="D309" s="213"/>
    </row>
    <row r="310" spans="2:4" hidden="1" x14ac:dyDescent="0.15">
      <c r="B310" s="206">
        <v>281</v>
      </c>
      <c r="C310" s="213"/>
      <c r="D310" s="213"/>
    </row>
    <row r="311" spans="2:4" hidden="1" x14ac:dyDescent="0.15">
      <c r="B311" s="208">
        <v>282</v>
      </c>
      <c r="C311" s="213"/>
      <c r="D311" s="213"/>
    </row>
    <row r="312" spans="2:4" hidden="1" x14ac:dyDescent="0.15">
      <c r="B312" s="206">
        <v>283</v>
      </c>
      <c r="C312" s="213"/>
      <c r="D312" s="213"/>
    </row>
    <row r="313" spans="2:4" hidden="1" x14ac:dyDescent="0.15">
      <c r="B313" s="206">
        <v>284</v>
      </c>
      <c r="C313" s="213"/>
      <c r="D313" s="213"/>
    </row>
    <row r="314" spans="2:4" hidden="1" x14ac:dyDescent="0.15">
      <c r="B314" s="206">
        <v>285</v>
      </c>
      <c r="C314" s="213"/>
      <c r="D314" s="213"/>
    </row>
    <row r="315" spans="2:4" hidden="1" x14ac:dyDescent="0.15">
      <c r="B315" s="208">
        <v>286</v>
      </c>
      <c r="C315" s="213"/>
      <c r="D315" s="213"/>
    </row>
    <row r="316" spans="2:4" hidden="1" x14ac:dyDescent="0.15">
      <c r="B316" s="206">
        <v>287</v>
      </c>
      <c r="C316" s="213"/>
      <c r="D316" s="213"/>
    </row>
    <row r="317" spans="2:4" hidden="1" x14ac:dyDescent="0.15">
      <c r="B317" s="206">
        <v>288</v>
      </c>
      <c r="C317" s="213"/>
      <c r="D317" s="213"/>
    </row>
    <row r="318" spans="2:4" hidden="1" x14ac:dyDescent="0.15">
      <c r="B318" s="206">
        <v>289</v>
      </c>
      <c r="C318" s="213"/>
      <c r="D318" s="213"/>
    </row>
    <row r="319" spans="2:4" hidden="1" x14ac:dyDescent="0.15">
      <c r="B319" s="208">
        <v>290</v>
      </c>
      <c r="C319" s="213"/>
      <c r="D319" s="213"/>
    </row>
    <row r="320" spans="2:4" hidden="1" x14ac:dyDescent="0.15">
      <c r="B320" s="206">
        <v>291</v>
      </c>
      <c r="C320" s="213"/>
      <c r="D320" s="213"/>
    </row>
    <row r="321" spans="2:4" hidden="1" x14ac:dyDescent="0.15">
      <c r="B321" s="206">
        <v>292</v>
      </c>
      <c r="C321" s="213"/>
      <c r="D321" s="213"/>
    </row>
    <row r="322" spans="2:4" hidden="1" x14ac:dyDescent="0.15">
      <c r="B322" s="206">
        <v>293</v>
      </c>
      <c r="C322" s="213"/>
      <c r="D322" s="213"/>
    </row>
    <row r="323" spans="2:4" hidden="1" x14ac:dyDescent="0.15">
      <c r="B323" s="208">
        <v>294</v>
      </c>
      <c r="C323" s="213"/>
      <c r="D323" s="213"/>
    </row>
    <row r="324" spans="2:4" hidden="1" x14ac:dyDescent="0.15">
      <c r="B324" s="206">
        <v>295</v>
      </c>
      <c r="C324" s="213"/>
      <c r="D324" s="213"/>
    </row>
    <row r="325" spans="2:4" hidden="1" x14ac:dyDescent="0.15">
      <c r="B325" s="206">
        <v>296</v>
      </c>
      <c r="C325" s="213"/>
      <c r="D325" s="213"/>
    </row>
    <row r="326" spans="2:4" hidden="1" x14ac:dyDescent="0.15">
      <c r="B326" s="206">
        <v>297</v>
      </c>
      <c r="C326" s="213"/>
      <c r="D326" s="213"/>
    </row>
    <row r="327" spans="2:4" hidden="1" x14ac:dyDescent="0.15">
      <c r="B327" s="208">
        <v>298</v>
      </c>
      <c r="C327" s="213"/>
      <c r="D327" s="213"/>
    </row>
    <row r="328" spans="2:4" hidden="1" x14ac:dyDescent="0.15">
      <c r="B328" s="206">
        <v>299</v>
      </c>
      <c r="C328" s="213"/>
      <c r="D328" s="213"/>
    </row>
    <row r="329" spans="2:4" hidden="1" x14ac:dyDescent="0.15">
      <c r="B329" s="206">
        <v>300</v>
      </c>
      <c r="C329" s="213"/>
      <c r="D329" s="213"/>
    </row>
    <row r="330" spans="2:4" hidden="1" x14ac:dyDescent="0.15">
      <c r="B330" s="206">
        <v>301</v>
      </c>
      <c r="C330" s="213"/>
      <c r="D330" s="213"/>
    </row>
    <row r="331" spans="2:4" hidden="1" x14ac:dyDescent="0.15">
      <c r="B331" s="208">
        <v>302</v>
      </c>
      <c r="C331" s="213"/>
      <c r="D331" s="213"/>
    </row>
    <row r="332" spans="2:4" hidden="1" x14ac:dyDescent="0.15">
      <c r="B332" s="206">
        <v>303</v>
      </c>
      <c r="C332" s="213"/>
      <c r="D332" s="213"/>
    </row>
    <row r="333" spans="2:4" hidden="1" x14ac:dyDescent="0.15">
      <c r="B333" s="206">
        <v>304</v>
      </c>
      <c r="C333" s="213"/>
      <c r="D333" s="213"/>
    </row>
    <row r="334" spans="2:4" hidden="1" x14ac:dyDescent="0.15">
      <c r="B334" s="206">
        <v>305</v>
      </c>
      <c r="C334" s="213"/>
      <c r="D334" s="213"/>
    </row>
    <row r="335" spans="2:4" hidden="1" x14ac:dyDescent="0.15">
      <c r="B335" s="208">
        <v>306</v>
      </c>
      <c r="C335" s="213"/>
      <c r="D335" s="213"/>
    </row>
    <row r="336" spans="2:4" hidden="1" x14ac:dyDescent="0.15">
      <c r="B336" s="206">
        <v>307</v>
      </c>
      <c r="C336" s="213"/>
      <c r="D336" s="213"/>
    </row>
    <row r="337" spans="2:4" hidden="1" x14ac:dyDescent="0.15">
      <c r="B337" s="206">
        <v>308</v>
      </c>
      <c r="C337" s="213"/>
      <c r="D337" s="213"/>
    </row>
    <row r="338" spans="2:4" hidden="1" x14ac:dyDescent="0.15">
      <c r="B338" s="206">
        <v>309</v>
      </c>
      <c r="C338" s="213"/>
      <c r="D338" s="213"/>
    </row>
    <row r="339" spans="2:4" hidden="1" x14ac:dyDescent="0.15">
      <c r="B339" s="208">
        <v>310</v>
      </c>
      <c r="C339" s="213"/>
      <c r="D339" s="213"/>
    </row>
    <row r="340" spans="2:4" hidden="1" x14ac:dyDescent="0.15">
      <c r="B340" s="206">
        <v>311</v>
      </c>
      <c r="C340" s="213"/>
      <c r="D340" s="213"/>
    </row>
    <row r="341" spans="2:4" hidden="1" x14ac:dyDescent="0.15">
      <c r="B341" s="206">
        <v>312</v>
      </c>
      <c r="C341" s="213"/>
      <c r="D341" s="213"/>
    </row>
    <row r="342" spans="2:4" hidden="1" x14ac:dyDescent="0.15">
      <c r="B342" s="206">
        <v>313</v>
      </c>
      <c r="C342" s="213"/>
      <c r="D342" s="213"/>
    </row>
    <row r="343" spans="2:4" hidden="1" x14ac:dyDescent="0.15">
      <c r="B343" s="208">
        <v>314</v>
      </c>
      <c r="C343" s="213"/>
      <c r="D343" s="213"/>
    </row>
    <row r="344" spans="2:4" hidden="1" x14ac:dyDescent="0.15">
      <c r="B344" s="206">
        <v>315</v>
      </c>
      <c r="C344" s="213"/>
      <c r="D344" s="213"/>
    </row>
    <row r="345" spans="2:4" hidden="1" x14ac:dyDescent="0.15">
      <c r="B345" s="206">
        <v>316</v>
      </c>
      <c r="C345" s="213"/>
      <c r="D345" s="213"/>
    </row>
    <row r="346" spans="2:4" hidden="1" x14ac:dyDescent="0.15">
      <c r="B346" s="206">
        <v>317</v>
      </c>
      <c r="C346" s="213"/>
      <c r="D346" s="213"/>
    </row>
    <row r="347" spans="2:4" hidden="1" x14ac:dyDescent="0.15">
      <c r="B347" s="208">
        <v>318</v>
      </c>
      <c r="C347" s="213"/>
      <c r="D347" s="213"/>
    </row>
    <row r="348" spans="2:4" hidden="1" x14ac:dyDescent="0.15">
      <c r="B348" s="206">
        <v>319</v>
      </c>
      <c r="C348" s="213"/>
      <c r="D348" s="213"/>
    </row>
    <row r="349" spans="2:4" hidden="1" x14ac:dyDescent="0.15">
      <c r="B349" s="206">
        <v>320</v>
      </c>
      <c r="C349" s="213"/>
      <c r="D349" s="213"/>
    </row>
    <row r="350" spans="2:4" hidden="1" x14ac:dyDescent="0.15">
      <c r="B350" s="206">
        <v>321</v>
      </c>
      <c r="C350" s="213"/>
      <c r="D350" s="213"/>
    </row>
    <row r="351" spans="2:4" hidden="1" x14ac:dyDescent="0.15">
      <c r="B351" s="208">
        <v>322</v>
      </c>
      <c r="C351" s="213"/>
      <c r="D351" s="213"/>
    </row>
    <row r="352" spans="2:4" hidden="1" x14ac:dyDescent="0.15">
      <c r="B352" s="206">
        <v>323</v>
      </c>
      <c r="C352" s="213"/>
      <c r="D352" s="213"/>
    </row>
    <row r="353" spans="2:4" hidden="1" x14ac:dyDescent="0.15">
      <c r="B353" s="206">
        <v>324</v>
      </c>
      <c r="C353" s="213"/>
      <c r="D353" s="213"/>
    </row>
    <row r="354" spans="2:4" hidden="1" x14ac:dyDescent="0.15">
      <c r="B354" s="206">
        <v>325</v>
      </c>
      <c r="C354" s="213"/>
      <c r="D354" s="213"/>
    </row>
    <row r="355" spans="2:4" hidden="1" x14ac:dyDescent="0.15">
      <c r="B355" s="208">
        <v>326</v>
      </c>
      <c r="C355" s="213"/>
      <c r="D355" s="213"/>
    </row>
    <row r="356" spans="2:4" hidden="1" x14ac:dyDescent="0.15">
      <c r="B356" s="206">
        <v>327</v>
      </c>
      <c r="C356" s="213"/>
      <c r="D356" s="213"/>
    </row>
    <row r="357" spans="2:4" hidden="1" x14ac:dyDescent="0.15">
      <c r="B357" s="206">
        <v>328</v>
      </c>
      <c r="C357" s="213"/>
      <c r="D357" s="213"/>
    </row>
    <row r="358" spans="2:4" hidden="1" x14ac:dyDescent="0.15">
      <c r="B358" s="206">
        <v>329</v>
      </c>
      <c r="C358" s="213"/>
      <c r="D358" s="213"/>
    </row>
    <row r="359" spans="2:4" hidden="1" x14ac:dyDescent="0.15">
      <c r="B359" s="208">
        <v>330</v>
      </c>
      <c r="C359" s="213"/>
      <c r="D359" s="213"/>
    </row>
    <row r="360" spans="2:4" hidden="1" x14ac:dyDescent="0.15">
      <c r="B360" s="206">
        <v>331</v>
      </c>
      <c r="C360" s="213"/>
      <c r="D360" s="213"/>
    </row>
    <row r="361" spans="2:4" hidden="1" x14ac:dyDescent="0.15">
      <c r="B361" s="206">
        <v>332</v>
      </c>
      <c r="C361" s="213"/>
      <c r="D361" s="213"/>
    </row>
    <row r="362" spans="2:4" hidden="1" x14ac:dyDescent="0.15">
      <c r="B362" s="206">
        <v>333</v>
      </c>
      <c r="C362" s="213"/>
      <c r="D362" s="213"/>
    </row>
    <row r="363" spans="2:4" hidden="1" x14ac:dyDescent="0.15">
      <c r="B363" s="208">
        <v>334</v>
      </c>
      <c r="C363" s="213"/>
      <c r="D363" s="213"/>
    </row>
    <row r="364" spans="2:4" hidden="1" x14ac:dyDescent="0.15">
      <c r="B364" s="206">
        <v>335</v>
      </c>
      <c r="C364" s="213"/>
      <c r="D364" s="213"/>
    </row>
    <row r="365" spans="2:4" hidden="1" x14ac:dyDescent="0.15">
      <c r="B365" s="206">
        <v>336</v>
      </c>
      <c r="C365" s="213"/>
      <c r="D365" s="213"/>
    </row>
    <row r="366" spans="2:4" hidden="1" x14ac:dyDescent="0.15">
      <c r="B366" s="206">
        <v>337</v>
      </c>
      <c r="C366" s="213"/>
      <c r="D366" s="213"/>
    </row>
    <row r="367" spans="2:4" hidden="1" x14ac:dyDescent="0.15">
      <c r="B367" s="208">
        <v>338</v>
      </c>
      <c r="C367" s="213"/>
      <c r="D367" s="213"/>
    </row>
    <row r="368" spans="2:4" hidden="1" x14ac:dyDescent="0.15">
      <c r="B368" s="206">
        <v>339</v>
      </c>
      <c r="C368" s="213"/>
      <c r="D368" s="213"/>
    </row>
    <row r="369" spans="2:4" hidden="1" x14ac:dyDescent="0.15">
      <c r="B369" s="206">
        <v>340</v>
      </c>
      <c r="C369" s="213"/>
      <c r="D369" s="213"/>
    </row>
    <row r="370" spans="2:4" hidden="1" x14ac:dyDescent="0.15">
      <c r="B370" s="206">
        <v>341</v>
      </c>
      <c r="C370" s="213"/>
      <c r="D370" s="213"/>
    </row>
    <row r="371" spans="2:4" hidden="1" x14ac:dyDescent="0.15">
      <c r="B371" s="208">
        <v>342</v>
      </c>
      <c r="C371" s="213"/>
      <c r="D371" s="213"/>
    </row>
    <row r="372" spans="2:4" hidden="1" x14ac:dyDescent="0.15">
      <c r="B372" s="206">
        <v>343</v>
      </c>
      <c r="C372" s="213"/>
      <c r="D372" s="213"/>
    </row>
    <row r="373" spans="2:4" hidden="1" x14ac:dyDescent="0.15">
      <c r="B373" s="206">
        <v>344</v>
      </c>
      <c r="C373" s="213"/>
      <c r="D373" s="213"/>
    </row>
    <row r="374" spans="2:4" hidden="1" x14ac:dyDescent="0.15">
      <c r="B374" s="206">
        <v>345</v>
      </c>
      <c r="C374" s="213"/>
      <c r="D374" s="213"/>
    </row>
    <row r="375" spans="2:4" hidden="1" x14ac:dyDescent="0.15">
      <c r="B375" s="208">
        <v>346</v>
      </c>
      <c r="C375" s="213"/>
      <c r="D375" s="213"/>
    </row>
    <row r="376" spans="2:4" hidden="1" x14ac:dyDescent="0.15">
      <c r="B376" s="206">
        <v>347</v>
      </c>
      <c r="C376" s="213"/>
      <c r="D376" s="213"/>
    </row>
    <row r="377" spans="2:4" hidden="1" x14ac:dyDescent="0.15">
      <c r="B377" s="206">
        <v>348</v>
      </c>
      <c r="C377" s="213"/>
      <c r="D377" s="213"/>
    </row>
    <row r="378" spans="2:4" hidden="1" x14ac:dyDescent="0.15">
      <c r="B378" s="206">
        <v>349</v>
      </c>
      <c r="C378" s="213"/>
      <c r="D378" s="213"/>
    </row>
    <row r="379" spans="2:4" hidden="1" x14ac:dyDescent="0.15">
      <c r="B379" s="208">
        <v>350</v>
      </c>
      <c r="C379" s="213"/>
      <c r="D379" s="213"/>
    </row>
    <row r="380" spans="2:4" hidden="1" x14ac:dyDescent="0.15">
      <c r="B380" s="206">
        <v>351</v>
      </c>
      <c r="C380" s="213"/>
      <c r="D380" s="213"/>
    </row>
    <row r="381" spans="2:4" hidden="1" x14ac:dyDescent="0.15">
      <c r="B381" s="206">
        <v>352</v>
      </c>
      <c r="C381" s="213"/>
      <c r="D381" s="213"/>
    </row>
    <row r="382" spans="2:4" hidden="1" x14ac:dyDescent="0.15">
      <c r="B382" s="206">
        <v>353</v>
      </c>
      <c r="C382" s="213"/>
      <c r="D382" s="213"/>
    </row>
    <row r="383" spans="2:4" hidden="1" x14ac:dyDescent="0.15">
      <c r="B383" s="208">
        <v>354</v>
      </c>
      <c r="C383" s="213"/>
      <c r="D383" s="213"/>
    </row>
    <row r="384" spans="2:4" x14ac:dyDescent="0.15"/>
    <row r="386" spans="2:2" x14ac:dyDescent="0.15">
      <c r="B386" s="204"/>
    </row>
  </sheetData>
  <sheetProtection algorithmName="SHA-512" hashValue="3H/bB9FjSnx6Fffpj8IQOT2uw69QVHNHvvurKwfffdqLdQkkgf8BPvzLiTKM/Znx5vz+RJ+HWW5EJ74yMyWt9Q==" saltValue="jypVxbLtMgfsA7ni1JA3bg==" spinCount="100000" sheet="1" objects="1" scenarios="1"/>
  <mergeCells count="4">
    <mergeCell ref="B6:C6"/>
    <mergeCell ref="B12:C12"/>
    <mergeCell ref="B24:C24"/>
    <mergeCell ref="B2:C2"/>
  </mergeCells>
  <conditionalFormatting sqref="C4">
    <cfRule type="containsText" dxfId="12" priority="1" operator="containsText" text="Please">
      <formula>NOT(ISERROR(SEARCH("Please",C4)))</formula>
    </cfRule>
    <cfRule type="containsText" dxfId="11" priority="2" operator="containsText" text="✔">
      <formula>NOT(ISERROR(SEARCH("✔",C4)))</formula>
    </cfRule>
    <cfRule type="containsText" dxfId="10" priority="3" operator="containsText" text="✖">
      <formula>NOT(ISERROR(SEARCH("✖",C4)))</formula>
    </cfRule>
  </conditionalFormatting>
  <dataValidations count="9">
    <dataValidation allowBlank="1" showErrorMessage="1" sqref="B9" xr:uid="{00000000-0002-0000-0100-000001000000}"/>
    <dataValidation type="decimal" operator="greaterThan" allowBlank="1" showInputMessage="1" showErrorMessage="1" errorTitle="Minimum number" error="This must be larger than zero (0)" sqref="C25:C26" xr:uid="{00000000-0002-0000-0100-000006000000}">
      <formula1>0</formula1>
    </dataValidation>
    <dataValidation type="decimal" operator="greaterThan" allowBlank="1" showInputMessage="1" showErrorMessage="1" error="This must be greater than 0 m²" sqref="C23 C17 C19 C21" xr:uid="{F88EC487-422A-48BC-8F2A-556602E1A9E1}">
      <formula1>0</formula1>
    </dataValidation>
    <dataValidation allowBlank="1" showInputMessage="1" showErrorMessage="1" promptTitle="Asset name" prompt="This should match the name used within the BREEAM USA In-Use 2016 Online Platform." sqref="C7" xr:uid="{84242B6B-5980-4572-B5FD-301031D6545A}"/>
    <dataValidation type="decimal" operator="greaterThan" allowBlank="1" showInputMessage="1" showErrorMessage="1" error="This must be greater than 0 ft²" promptTitle="Total building area (m²)" prompt="This is the total size of the building in m², this includes assessed area and non-assessed area. This will be larger than the assessed area." sqref="C10" xr:uid="{DABEFC33-E2D9-4C2D-89E7-B8A112808004}">
      <formula1>0</formula1>
    </dataValidation>
    <dataValidation allowBlank="1" showInputMessage="1" showErrorMessage="1" promptTitle="Property number (PRY)" prompt="This should match the PRY number found within the BREEAM USA In-Use 2016 Online Platform for this asset." sqref="C8" xr:uid="{1951FBBD-1194-4717-90E6-86ACF87DF5E3}"/>
    <dataValidation type="decimal" operator="greaterThan" allowBlank="1" showInputMessage="1" showErrorMessage="1" error="This must be greater than 0 ft²" promptTitle="Assessed area (m²)" prompt="This should match the GIA figure (Basic Building Details) found within the BREEAM USA In-Use 2016 Online Platform for this asset." sqref="C9" xr:uid="{2F6D1CE3-9886-4186-BE85-635C254B4B9E}">
      <formula1>0</formula1>
    </dataValidation>
    <dataValidation type="decimal" operator="greaterThan" allowBlank="1" showInputMessage="1" showErrorMessage="1" error="This must be greater than 0 ft²" sqref="C15" xr:uid="{3EEB7196-0D3F-46E3-A7AD-1BC97AA9AF11}">
      <formula1>0</formula1>
    </dataValidation>
    <dataValidation type="list" allowBlank="1" showInputMessage="1" showErrorMessage="1" sqref="C13" xr:uid="{6F56FB14-9B79-42D2-8BFD-E1C0AC76025F}">
      <formula1>Country</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8EEFDB-F8E3-45A4-AC7F-21AF114547C6}">
          <x14:formula1>
            <xm:f>'v6 benchmarks'!$B$3:$B$63</xm:f>
          </x14:formula1>
          <xm:sqref>C14 C16 C18 C20 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A28"/>
  <sheetViews>
    <sheetView showGridLines="0" topLeftCell="A7" zoomScale="90" zoomScaleNormal="90" workbookViewId="0">
      <selection activeCell="K11" sqref="K11"/>
    </sheetView>
  </sheetViews>
  <sheetFormatPr baseColWidth="10" defaultColWidth="0" defaultRowHeight="14" x14ac:dyDescent="0.15"/>
  <cols>
    <col min="1" max="1" width="2.1640625" style="189" customWidth="1"/>
    <col min="2" max="3" width="22" style="189" hidden="1" customWidth="1"/>
    <col min="4" max="5" width="22" style="189" customWidth="1"/>
    <col min="6" max="6" width="29.6640625" style="189" customWidth="1"/>
    <col min="7" max="9" width="26.5" style="189" customWidth="1"/>
    <col min="10" max="15" width="25.5" style="189" customWidth="1"/>
    <col min="16" max="17" width="26.5" style="189" customWidth="1"/>
    <col min="18" max="18" width="25.33203125" style="189" customWidth="1"/>
    <col min="19" max="20" width="28.6640625" style="189" customWidth="1"/>
    <col min="21" max="21" width="29.1640625" style="189" customWidth="1"/>
    <col min="22" max="22" width="74" style="189" customWidth="1"/>
    <col min="23" max="23" width="128.6640625" style="189" customWidth="1"/>
    <col min="24" max="24" width="8.83203125" style="189" customWidth="1"/>
    <col min="25" max="27" width="0" style="189" hidden="1" customWidth="1"/>
    <col min="28" max="16384" width="8.83203125" style="189" hidden="1"/>
  </cols>
  <sheetData>
    <row r="1" spans="2:27" ht="10.5" customHeight="1" x14ac:dyDescent="0.15"/>
    <row r="2" spans="2:27" ht="60" customHeight="1" x14ac:dyDescent="0.15">
      <c r="B2" s="214"/>
      <c r="C2" s="214"/>
      <c r="D2" s="249" t="s">
        <v>75</v>
      </c>
      <c r="E2" s="249"/>
      <c r="F2" s="249"/>
      <c r="G2" s="249"/>
      <c r="H2" s="249"/>
      <c r="I2" s="215"/>
      <c r="J2" s="215"/>
      <c r="K2" s="215"/>
      <c r="L2" s="215"/>
      <c r="M2" s="215"/>
      <c r="N2" s="215"/>
      <c r="O2" s="215"/>
      <c r="P2" s="215"/>
      <c r="Q2" s="215"/>
      <c r="R2" s="215"/>
    </row>
    <row r="4" spans="2:27" hidden="1" x14ac:dyDescent="0.15">
      <c r="B4" s="189" t="s">
        <v>76</v>
      </c>
      <c r="C4" s="189" t="s">
        <v>76</v>
      </c>
    </row>
    <row r="5" spans="2:27" hidden="1" x14ac:dyDescent="0.15"/>
    <row r="6" spans="2:27" s="205" customFormat="1" ht="30" x14ac:dyDescent="0.15">
      <c r="B6" s="216" t="s">
        <v>77</v>
      </c>
      <c r="C6" s="216" t="s">
        <v>77</v>
      </c>
      <c r="D6" s="216" t="s">
        <v>78</v>
      </c>
      <c r="E6" s="216" t="s">
        <v>79</v>
      </c>
      <c r="F6" s="216" t="s">
        <v>80</v>
      </c>
      <c r="G6" s="216" t="s">
        <v>81</v>
      </c>
      <c r="H6" s="217" t="s">
        <v>82</v>
      </c>
      <c r="I6" s="217" t="s">
        <v>83</v>
      </c>
      <c r="J6" s="246" t="s">
        <v>84</v>
      </c>
      <c r="K6" s="247"/>
      <c r="L6" s="247"/>
      <c r="M6" s="247"/>
      <c r="N6" s="247"/>
      <c r="O6" s="248"/>
      <c r="P6" s="216" t="s">
        <v>85</v>
      </c>
      <c r="Q6" s="216"/>
      <c r="R6" s="216" t="s">
        <v>86</v>
      </c>
      <c r="S6" s="216" t="s">
        <v>87</v>
      </c>
      <c r="T6" s="216" t="s">
        <v>88</v>
      </c>
      <c r="U6" s="216" t="s">
        <v>89</v>
      </c>
      <c r="V6" s="216" t="s">
        <v>90</v>
      </c>
      <c r="W6" s="216" t="s">
        <v>91</v>
      </c>
      <c r="X6" s="189"/>
      <c r="Y6" s="189"/>
      <c r="Z6" s="189"/>
    </row>
    <row r="7" spans="2:27" s="205" customFormat="1" ht="92.5" customHeight="1" x14ac:dyDescent="0.15">
      <c r="B7" s="218" t="s">
        <v>92</v>
      </c>
      <c r="C7" s="218" t="s">
        <v>92</v>
      </c>
      <c r="D7" s="219" t="s">
        <v>93</v>
      </c>
      <c r="E7" s="219" t="s">
        <v>94</v>
      </c>
      <c r="F7" s="219" t="s">
        <v>95</v>
      </c>
      <c r="G7" s="219" t="s">
        <v>96</v>
      </c>
      <c r="H7" s="220" t="s">
        <v>97</v>
      </c>
      <c r="I7" s="220" t="s">
        <v>98</v>
      </c>
      <c r="J7" s="220" t="s">
        <v>99</v>
      </c>
      <c r="K7" s="220" t="s">
        <v>100</v>
      </c>
      <c r="L7" s="220" t="s">
        <v>101</v>
      </c>
      <c r="M7" s="220" t="s">
        <v>102</v>
      </c>
      <c r="N7" s="220" t="s">
        <v>103</v>
      </c>
      <c r="O7" s="220" t="s">
        <v>104</v>
      </c>
      <c r="P7" s="219" t="s">
        <v>105</v>
      </c>
      <c r="Q7" s="219" t="s">
        <v>106</v>
      </c>
      <c r="R7" s="219" t="s">
        <v>107</v>
      </c>
      <c r="S7" s="219" t="s">
        <v>108</v>
      </c>
      <c r="T7" s="219" t="s">
        <v>109</v>
      </c>
      <c r="U7" s="219" t="s">
        <v>110</v>
      </c>
      <c r="V7" s="219" t="s">
        <v>111</v>
      </c>
      <c r="W7" s="219" t="s">
        <v>112</v>
      </c>
      <c r="X7" s="189"/>
      <c r="Y7" s="189"/>
      <c r="Z7" s="189"/>
    </row>
    <row r="8" spans="2:27" s="205" customFormat="1" ht="84.5" customHeight="1" x14ac:dyDescent="0.15">
      <c r="B8" s="221" t="s">
        <v>113</v>
      </c>
      <c r="C8" s="221" t="s">
        <v>113</v>
      </c>
      <c r="D8" s="221" t="s">
        <v>114</v>
      </c>
      <c r="E8" s="221" t="s">
        <v>115</v>
      </c>
      <c r="F8" s="221" t="s">
        <v>116</v>
      </c>
      <c r="G8" s="221" t="s">
        <v>117</v>
      </c>
      <c r="H8" s="222">
        <v>42736</v>
      </c>
      <c r="I8" s="222">
        <v>43101</v>
      </c>
      <c r="J8" s="223" t="s">
        <v>118</v>
      </c>
      <c r="K8" s="223" t="s">
        <v>118</v>
      </c>
      <c r="L8" s="223" t="s">
        <v>118</v>
      </c>
      <c r="M8" s="223" t="s">
        <v>118</v>
      </c>
      <c r="N8" s="223" t="s">
        <v>118</v>
      </c>
      <c r="O8" s="223" t="s">
        <v>119</v>
      </c>
      <c r="P8" s="224">
        <v>152750</v>
      </c>
      <c r="Q8" s="225">
        <v>152750</v>
      </c>
      <c r="R8" s="224">
        <v>675</v>
      </c>
      <c r="S8" s="224">
        <v>350</v>
      </c>
      <c r="T8" s="226"/>
      <c r="U8" s="227">
        <v>79203.703703703693</v>
      </c>
      <c r="V8" s="228" t="s">
        <v>120</v>
      </c>
      <c r="W8" s="228" t="s">
        <v>121</v>
      </c>
      <c r="X8" s="189"/>
      <c r="Y8" s="189"/>
      <c r="Z8" s="189"/>
    </row>
    <row r="9" spans="2:27" s="237" customFormat="1" ht="60" customHeight="1" x14ac:dyDescent="0.15">
      <c r="B9" s="229" t="s">
        <v>122</v>
      </c>
      <c r="C9" s="229" t="s">
        <v>122</v>
      </c>
      <c r="D9" s="229">
        <v>1</v>
      </c>
      <c r="E9" s="230"/>
      <c r="F9" s="230"/>
      <c r="G9" s="230"/>
      <c r="H9" s="239"/>
      <c r="I9" s="239"/>
      <c r="J9" s="230"/>
      <c r="K9" s="230"/>
      <c r="L9" s="230"/>
      <c r="M9" s="230"/>
      <c r="N9" s="230"/>
      <c r="O9" s="230"/>
      <c r="P9" s="231"/>
      <c r="Q9" s="232">
        <f>'Data Validation'!Z34</f>
        <v>0</v>
      </c>
      <c r="R9" s="231"/>
      <c r="S9" s="231"/>
      <c r="T9" s="231" t="s">
        <v>119</v>
      </c>
      <c r="U9" s="233">
        <f>'Data Validation'!AD34</f>
        <v>0</v>
      </c>
      <c r="V9" s="234" t="str">
        <f>'Data Validation'!AE34</f>
        <v>Please enter a description for the meter</v>
      </c>
      <c r="W9" s="235"/>
      <c r="X9" s="189"/>
      <c r="Y9" s="189"/>
      <c r="Z9" s="189"/>
      <c r="AA9" s="236"/>
    </row>
    <row r="10" spans="2:27" s="238" customFormat="1" ht="60" customHeight="1" x14ac:dyDescent="0.15">
      <c r="B10" s="229">
        <v>3</v>
      </c>
      <c r="C10" s="229">
        <v>3</v>
      </c>
      <c r="D10" s="229">
        <v>2</v>
      </c>
      <c r="E10" s="230"/>
      <c r="F10" s="230"/>
      <c r="G10" s="230"/>
      <c r="H10" s="239"/>
      <c r="I10" s="239"/>
      <c r="J10" s="230"/>
      <c r="K10" s="230"/>
      <c r="L10" s="230"/>
      <c r="M10" s="230"/>
      <c r="N10" s="230"/>
      <c r="O10" s="230"/>
      <c r="P10" s="231"/>
      <c r="Q10" s="232">
        <f>'Data Validation'!Z35</f>
        <v>0</v>
      </c>
      <c r="R10" s="231"/>
      <c r="S10" s="231"/>
      <c r="T10" s="231"/>
      <c r="U10" s="233">
        <f>'Data Validation'!AD35</f>
        <v>0</v>
      </c>
      <c r="V10" s="234" t="str">
        <f>'Data Validation'!AE35</f>
        <v>Please enter a description for the meter</v>
      </c>
      <c r="W10" s="235"/>
      <c r="X10" s="189"/>
      <c r="Y10" s="189"/>
      <c r="Z10" s="189"/>
    </row>
    <row r="11" spans="2:27" s="238" customFormat="1" ht="60" customHeight="1" x14ac:dyDescent="0.15">
      <c r="B11" s="229" t="s">
        <v>123</v>
      </c>
      <c r="C11" s="229" t="s">
        <v>123</v>
      </c>
      <c r="D11" s="229">
        <v>3</v>
      </c>
      <c r="E11" s="230"/>
      <c r="F11" s="230"/>
      <c r="G11" s="230"/>
      <c r="H11" s="239"/>
      <c r="I11" s="239"/>
      <c r="J11" s="230"/>
      <c r="K11" s="230"/>
      <c r="L11" s="230"/>
      <c r="M11" s="230"/>
      <c r="N11" s="230"/>
      <c r="O11" s="230"/>
      <c r="P11" s="231"/>
      <c r="Q11" s="232">
        <f>'Data Validation'!Z36</f>
        <v>0</v>
      </c>
      <c r="R11" s="231"/>
      <c r="S11" s="231"/>
      <c r="T11" s="231"/>
      <c r="U11" s="233">
        <f>'Data Validation'!AD36</f>
        <v>0</v>
      </c>
      <c r="V11" s="234" t="str">
        <f>'Data Validation'!AE36</f>
        <v>Please enter a description for the meter</v>
      </c>
      <c r="W11" s="235"/>
      <c r="X11" s="189"/>
      <c r="Y11" s="189"/>
      <c r="Z11" s="189"/>
    </row>
    <row r="12" spans="2:27" s="238" customFormat="1" ht="60" customHeight="1" x14ac:dyDescent="0.15">
      <c r="B12" s="229">
        <v>2</v>
      </c>
      <c r="C12" s="229">
        <v>2</v>
      </c>
      <c r="D12" s="229">
        <v>4</v>
      </c>
      <c r="E12" s="230"/>
      <c r="F12" s="230"/>
      <c r="G12" s="230"/>
      <c r="H12" s="239"/>
      <c r="I12" s="239"/>
      <c r="J12" s="230"/>
      <c r="K12" s="230"/>
      <c r="L12" s="230"/>
      <c r="M12" s="230"/>
      <c r="N12" s="230"/>
      <c r="O12" s="230"/>
      <c r="P12" s="231"/>
      <c r="Q12" s="232">
        <f>'Data Validation'!Z37</f>
        <v>0</v>
      </c>
      <c r="R12" s="231"/>
      <c r="S12" s="231"/>
      <c r="T12" s="231"/>
      <c r="U12" s="233">
        <f>'Data Validation'!AD37</f>
        <v>0</v>
      </c>
      <c r="V12" s="234" t="str">
        <f>'Data Validation'!AE37</f>
        <v>Please enter a description for the meter</v>
      </c>
      <c r="W12" s="235"/>
      <c r="X12" s="189"/>
      <c r="Y12" s="189"/>
      <c r="Z12" s="189"/>
    </row>
    <row r="13" spans="2:27" s="238" customFormat="1" ht="60" customHeight="1" x14ac:dyDescent="0.15">
      <c r="B13" s="229">
        <v>1</v>
      </c>
      <c r="C13" s="229">
        <v>1</v>
      </c>
      <c r="D13" s="229">
        <v>5</v>
      </c>
      <c r="E13" s="230"/>
      <c r="F13" s="230"/>
      <c r="G13" s="230"/>
      <c r="H13" s="239"/>
      <c r="I13" s="239"/>
      <c r="J13" s="230"/>
      <c r="K13" s="230"/>
      <c r="L13" s="230"/>
      <c r="M13" s="230"/>
      <c r="N13" s="230"/>
      <c r="O13" s="230"/>
      <c r="P13" s="231"/>
      <c r="Q13" s="232">
        <f>'Data Validation'!Z38</f>
        <v>0</v>
      </c>
      <c r="R13" s="231"/>
      <c r="S13" s="231"/>
      <c r="T13" s="231"/>
      <c r="U13" s="233">
        <f>'Data Validation'!AD38</f>
        <v>0</v>
      </c>
      <c r="V13" s="234" t="str">
        <f>'Data Validation'!AE38</f>
        <v>Please enter a description for the meter</v>
      </c>
      <c r="W13" s="235"/>
      <c r="X13" s="189"/>
      <c r="Y13" s="189"/>
      <c r="Z13" s="189"/>
    </row>
    <row r="14" spans="2:27" s="238" customFormat="1" ht="60" customHeight="1" x14ac:dyDescent="0.15">
      <c r="B14" s="229" t="s">
        <v>124</v>
      </c>
      <c r="C14" s="229" t="s">
        <v>124</v>
      </c>
      <c r="D14" s="229">
        <v>6</v>
      </c>
      <c r="E14" s="230"/>
      <c r="F14" s="230"/>
      <c r="G14" s="230"/>
      <c r="H14" s="239"/>
      <c r="I14" s="239"/>
      <c r="J14" s="230"/>
      <c r="K14" s="230"/>
      <c r="L14" s="230"/>
      <c r="M14" s="230"/>
      <c r="N14" s="230"/>
      <c r="O14" s="230"/>
      <c r="P14" s="231"/>
      <c r="Q14" s="232">
        <f>'Data Validation'!Z39</f>
        <v>0</v>
      </c>
      <c r="R14" s="231"/>
      <c r="S14" s="231"/>
      <c r="T14" s="231"/>
      <c r="U14" s="233">
        <f>'Data Validation'!AD39</f>
        <v>0</v>
      </c>
      <c r="V14" s="234" t="str">
        <f>'Data Validation'!AE39</f>
        <v>Please enter a description for the meter</v>
      </c>
      <c r="W14" s="235"/>
      <c r="X14" s="189"/>
      <c r="Y14" s="189"/>
      <c r="Z14" s="189"/>
    </row>
    <row r="15" spans="2:27" s="238" customFormat="1" ht="60" customHeight="1" x14ac:dyDescent="0.15">
      <c r="B15" s="229">
        <v>4</v>
      </c>
      <c r="C15" s="229">
        <v>4</v>
      </c>
      <c r="D15" s="229">
        <v>7</v>
      </c>
      <c r="E15" s="230"/>
      <c r="F15" s="230"/>
      <c r="G15" s="230"/>
      <c r="H15" s="239"/>
      <c r="I15" s="239"/>
      <c r="J15" s="230"/>
      <c r="K15" s="230"/>
      <c r="L15" s="230"/>
      <c r="M15" s="230"/>
      <c r="N15" s="230"/>
      <c r="O15" s="230"/>
      <c r="P15" s="231"/>
      <c r="Q15" s="232">
        <f>'Data Validation'!Z40</f>
        <v>0</v>
      </c>
      <c r="R15" s="231"/>
      <c r="S15" s="231"/>
      <c r="T15" s="231"/>
      <c r="U15" s="233">
        <f>'Data Validation'!AD40</f>
        <v>0</v>
      </c>
      <c r="V15" s="234" t="str">
        <f>'Data Validation'!AE40</f>
        <v>Please enter a description for the meter</v>
      </c>
      <c r="W15" s="235"/>
      <c r="X15" s="189"/>
      <c r="Y15" s="189"/>
      <c r="Z15" s="189"/>
    </row>
    <row r="16" spans="2:27" s="238" customFormat="1" ht="60" customHeight="1" x14ac:dyDescent="0.15">
      <c r="B16" s="229"/>
      <c r="C16" s="229"/>
      <c r="D16" s="229">
        <v>8</v>
      </c>
      <c r="E16" s="230"/>
      <c r="F16" s="230"/>
      <c r="G16" s="230"/>
      <c r="H16" s="239"/>
      <c r="I16" s="239"/>
      <c r="J16" s="230"/>
      <c r="K16" s="230"/>
      <c r="L16" s="230"/>
      <c r="M16" s="230"/>
      <c r="N16" s="230"/>
      <c r="O16" s="230"/>
      <c r="P16" s="231"/>
      <c r="Q16" s="232">
        <f>'Data Validation'!Z41</f>
        <v>0</v>
      </c>
      <c r="R16" s="231"/>
      <c r="S16" s="231"/>
      <c r="T16" s="231"/>
      <c r="U16" s="233">
        <f>'Data Validation'!AD41</f>
        <v>0</v>
      </c>
      <c r="V16" s="234" t="str">
        <f>'Data Validation'!AE41</f>
        <v>Please enter a description for the meter</v>
      </c>
      <c r="W16" s="235"/>
      <c r="X16" s="189"/>
      <c r="Y16" s="189"/>
      <c r="Z16" s="189"/>
    </row>
    <row r="17" spans="2:23" s="238" customFormat="1" ht="60" customHeight="1" x14ac:dyDescent="0.15">
      <c r="B17" s="229"/>
      <c r="C17" s="229"/>
      <c r="D17" s="229">
        <v>9</v>
      </c>
      <c r="E17" s="230"/>
      <c r="F17" s="230"/>
      <c r="G17" s="230"/>
      <c r="H17" s="239"/>
      <c r="I17" s="239"/>
      <c r="J17" s="230"/>
      <c r="K17" s="230"/>
      <c r="L17" s="230"/>
      <c r="M17" s="230"/>
      <c r="N17" s="230"/>
      <c r="O17" s="230"/>
      <c r="P17" s="231"/>
      <c r="Q17" s="232">
        <f>'Data Validation'!Z42</f>
        <v>0</v>
      </c>
      <c r="R17" s="231"/>
      <c r="S17" s="231"/>
      <c r="T17" s="231"/>
      <c r="U17" s="233">
        <f>'Data Validation'!AD42</f>
        <v>0</v>
      </c>
      <c r="V17" s="234" t="str">
        <f>'Data Validation'!AE42</f>
        <v>Please enter a description for the meter</v>
      </c>
      <c r="W17" s="240"/>
    </row>
    <row r="18" spans="2:23" s="238" customFormat="1" ht="60" customHeight="1" x14ac:dyDescent="0.15">
      <c r="B18" s="229"/>
      <c r="C18" s="229"/>
      <c r="D18" s="229">
        <v>10</v>
      </c>
      <c r="E18" s="230"/>
      <c r="F18" s="230"/>
      <c r="G18" s="230"/>
      <c r="H18" s="239"/>
      <c r="I18" s="239"/>
      <c r="J18" s="230"/>
      <c r="K18" s="230"/>
      <c r="L18" s="230"/>
      <c r="M18" s="230"/>
      <c r="N18" s="230"/>
      <c r="O18" s="230"/>
      <c r="P18" s="231"/>
      <c r="Q18" s="232">
        <f>'Data Validation'!Z43</f>
        <v>0</v>
      </c>
      <c r="R18" s="231"/>
      <c r="S18" s="231"/>
      <c r="T18" s="231"/>
      <c r="U18" s="233">
        <f>'Data Validation'!AD43</f>
        <v>0</v>
      </c>
      <c r="V18" s="234" t="str">
        <f>'Data Validation'!AE43</f>
        <v>Please enter a description for the meter</v>
      </c>
      <c r="W18" s="240"/>
    </row>
    <row r="19" spans="2:23" s="238" customFormat="1" ht="60" customHeight="1" x14ac:dyDescent="0.15">
      <c r="B19" s="229"/>
      <c r="C19" s="229"/>
      <c r="D19" s="229">
        <v>11</v>
      </c>
      <c r="E19" s="230"/>
      <c r="F19" s="230"/>
      <c r="G19" s="230"/>
      <c r="H19" s="239"/>
      <c r="I19" s="239"/>
      <c r="J19" s="230"/>
      <c r="K19" s="230"/>
      <c r="L19" s="230"/>
      <c r="M19" s="230"/>
      <c r="N19" s="230"/>
      <c r="O19" s="230"/>
      <c r="P19" s="231"/>
      <c r="Q19" s="232">
        <f>'Data Validation'!Z44</f>
        <v>0</v>
      </c>
      <c r="R19" s="231"/>
      <c r="S19" s="231"/>
      <c r="T19" s="231"/>
      <c r="U19" s="233">
        <f>'Data Validation'!AD44</f>
        <v>0</v>
      </c>
      <c r="V19" s="234" t="str">
        <f>'Data Validation'!AE44</f>
        <v>Please enter a description for the meter</v>
      </c>
      <c r="W19" s="240"/>
    </row>
    <row r="20" spans="2:23" s="238" customFormat="1" ht="60" customHeight="1" x14ac:dyDescent="0.15">
      <c r="B20" s="229"/>
      <c r="C20" s="229"/>
      <c r="D20" s="229">
        <v>12</v>
      </c>
      <c r="E20" s="230"/>
      <c r="F20" s="230"/>
      <c r="G20" s="230"/>
      <c r="H20" s="239"/>
      <c r="I20" s="239"/>
      <c r="J20" s="230"/>
      <c r="K20" s="230"/>
      <c r="L20" s="230"/>
      <c r="M20" s="230"/>
      <c r="N20" s="230"/>
      <c r="O20" s="230"/>
      <c r="P20" s="231"/>
      <c r="Q20" s="232">
        <f>'Data Validation'!Z45</f>
        <v>0</v>
      </c>
      <c r="R20" s="231"/>
      <c r="S20" s="231"/>
      <c r="T20" s="231"/>
      <c r="U20" s="233">
        <f>'Data Validation'!AD45</f>
        <v>0</v>
      </c>
      <c r="V20" s="234" t="str">
        <f>'Data Validation'!AE45</f>
        <v>Please enter a description for the meter</v>
      </c>
      <c r="W20" s="240"/>
    </row>
    <row r="21" spans="2:23" s="238" customFormat="1" ht="60" customHeight="1" x14ac:dyDescent="0.15">
      <c r="B21" s="229"/>
      <c r="C21" s="229"/>
      <c r="D21" s="229">
        <v>13</v>
      </c>
      <c r="E21" s="230"/>
      <c r="F21" s="230"/>
      <c r="G21" s="230"/>
      <c r="H21" s="239"/>
      <c r="I21" s="239"/>
      <c r="J21" s="230"/>
      <c r="K21" s="230"/>
      <c r="L21" s="230"/>
      <c r="M21" s="230"/>
      <c r="N21" s="230"/>
      <c r="O21" s="230"/>
      <c r="P21" s="231"/>
      <c r="Q21" s="232">
        <f>'Data Validation'!Z46</f>
        <v>0</v>
      </c>
      <c r="R21" s="231"/>
      <c r="S21" s="231"/>
      <c r="T21" s="231"/>
      <c r="U21" s="233">
        <f>'Data Validation'!AD46</f>
        <v>0</v>
      </c>
      <c r="V21" s="234" t="str">
        <f>'Data Validation'!AE46</f>
        <v>Please enter a description for the meter</v>
      </c>
      <c r="W21" s="240"/>
    </row>
    <row r="22" spans="2:23" s="238" customFormat="1" ht="60" customHeight="1" x14ac:dyDescent="0.15">
      <c r="B22" s="229"/>
      <c r="C22" s="229"/>
      <c r="D22" s="229">
        <v>14</v>
      </c>
      <c r="E22" s="230"/>
      <c r="F22" s="230"/>
      <c r="G22" s="230"/>
      <c r="H22" s="239"/>
      <c r="I22" s="239"/>
      <c r="J22" s="230"/>
      <c r="K22" s="230"/>
      <c r="L22" s="230"/>
      <c r="M22" s="230"/>
      <c r="N22" s="230"/>
      <c r="O22" s="230"/>
      <c r="P22" s="231"/>
      <c r="Q22" s="232">
        <f>'Data Validation'!Z47</f>
        <v>0</v>
      </c>
      <c r="R22" s="231"/>
      <c r="S22" s="231"/>
      <c r="T22" s="231"/>
      <c r="U22" s="233">
        <f>'Data Validation'!AD47</f>
        <v>0</v>
      </c>
      <c r="V22" s="234" t="str">
        <f>'Data Validation'!AE47</f>
        <v>Please enter a description for the meter</v>
      </c>
      <c r="W22" s="240"/>
    </row>
    <row r="23" spans="2:23" s="238" customFormat="1" ht="60" customHeight="1" x14ac:dyDescent="0.15">
      <c r="B23" s="229"/>
      <c r="C23" s="229"/>
      <c r="D23" s="229">
        <v>15</v>
      </c>
      <c r="E23" s="230"/>
      <c r="F23" s="230"/>
      <c r="G23" s="230"/>
      <c r="H23" s="239"/>
      <c r="I23" s="239"/>
      <c r="J23" s="230"/>
      <c r="K23" s="230"/>
      <c r="L23" s="230"/>
      <c r="M23" s="230"/>
      <c r="N23" s="230"/>
      <c r="O23" s="230"/>
      <c r="P23" s="231"/>
      <c r="Q23" s="232">
        <f>'Data Validation'!Z48</f>
        <v>0</v>
      </c>
      <c r="R23" s="231"/>
      <c r="S23" s="231"/>
      <c r="T23" s="231"/>
      <c r="U23" s="233">
        <f>'Data Validation'!AD48</f>
        <v>0</v>
      </c>
      <c r="V23" s="234" t="str">
        <f>'Data Validation'!AE48</f>
        <v>Please enter a description for the meter</v>
      </c>
      <c r="W23" s="240"/>
    </row>
    <row r="24" spans="2:23" s="238" customFormat="1" ht="60" customHeight="1" x14ac:dyDescent="0.15">
      <c r="B24" s="229"/>
      <c r="C24" s="229"/>
      <c r="D24" s="229">
        <v>16</v>
      </c>
      <c r="E24" s="230"/>
      <c r="F24" s="230"/>
      <c r="G24" s="230"/>
      <c r="H24" s="239"/>
      <c r="I24" s="239"/>
      <c r="J24" s="230"/>
      <c r="K24" s="230"/>
      <c r="L24" s="230"/>
      <c r="M24" s="230"/>
      <c r="N24" s="230"/>
      <c r="O24" s="230"/>
      <c r="P24" s="231"/>
      <c r="Q24" s="232">
        <f>'Data Validation'!Z49</f>
        <v>0</v>
      </c>
      <c r="R24" s="231"/>
      <c r="S24" s="231"/>
      <c r="T24" s="231"/>
      <c r="U24" s="233">
        <f>'Data Validation'!AD49</f>
        <v>0</v>
      </c>
      <c r="V24" s="234" t="str">
        <f>'Data Validation'!AE49</f>
        <v>Please enter a description for the meter</v>
      </c>
      <c r="W24" s="240"/>
    </row>
    <row r="25" spans="2:23" s="238" customFormat="1" ht="60" customHeight="1" x14ac:dyDescent="0.15">
      <c r="B25" s="229"/>
      <c r="C25" s="229"/>
      <c r="D25" s="229">
        <v>17</v>
      </c>
      <c r="E25" s="230"/>
      <c r="F25" s="230"/>
      <c r="G25" s="230"/>
      <c r="H25" s="239"/>
      <c r="I25" s="239"/>
      <c r="J25" s="230"/>
      <c r="K25" s="230"/>
      <c r="L25" s="230"/>
      <c r="M25" s="230"/>
      <c r="N25" s="230"/>
      <c r="O25" s="230"/>
      <c r="P25" s="231"/>
      <c r="Q25" s="232">
        <f>'Data Validation'!Z50</f>
        <v>0</v>
      </c>
      <c r="R25" s="231"/>
      <c r="S25" s="231"/>
      <c r="T25" s="231"/>
      <c r="U25" s="233">
        <f>'Data Validation'!AD50</f>
        <v>0</v>
      </c>
      <c r="V25" s="234" t="str">
        <f>'Data Validation'!AE50</f>
        <v>Please enter a description for the meter</v>
      </c>
      <c r="W25" s="240"/>
    </row>
    <row r="26" spans="2:23" s="238" customFormat="1" ht="60" customHeight="1" x14ac:dyDescent="0.15">
      <c r="B26" s="229"/>
      <c r="C26" s="229"/>
      <c r="D26" s="229">
        <v>18</v>
      </c>
      <c r="E26" s="230"/>
      <c r="F26" s="230"/>
      <c r="G26" s="230"/>
      <c r="H26" s="239"/>
      <c r="I26" s="239"/>
      <c r="J26" s="230"/>
      <c r="K26" s="230"/>
      <c r="L26" s="230"/>
      <c r="M26" s="230"/>
      <c r="N26" s="230"/>
      <c r="O26" s="230"/>
      <c r="P26" s="231"/>
      <c r="Q26" s="232">
        <f>'Data Validation'!Z51</f>
        <v>0</v>
      </c>
      <c r="R26" s="231"/>
      <c r="S26" s="231"/>
      <c r="T26" s="231"/>
      <c r="U26" s="233">
        <f>'Data Validation'!AD51</f>
        <v>0</v>
      </c>
      <c r="V26" s="234" t="str">
        <f>'Data Validation'!AE51</f>
        <v>Please enter a description for the meter</v>
      </c>
      <c r="W26" s="240"/>
    </row>
    <row r="27" spans="2:23" s="238" customFormat="1" ht="60" customHeight="1" x14ac:dyDescent="0.15">
      <c r="B27" s="229"/>
      <c r="C27" s="229"/>
      <c r="D27" s="229">
        <v>19</v>
      </c>
      <c r="E27" s="230"/>
      <c r="F27" s="230"/>
      <c r="G27" s="230"/>
      <c r="H27" s="239"/>
      <c r="I27" s="239"/>
      <c r="J27" s="230"/>
      <c r="K27" s="230"/>
      <c r="L27" s="230"/>
      <c r="M27" s="230"/>
      <c r="N27" s="230"/>
      <c r="O27" s="230"/>
      <c r="P27" s="231"/>
      <c r="Q27" s="232">
        <f>'Data Validation'!Z52</f>
        <v>0</v>
      </c>
      <c r="R27" s="231"/>
      <c r="S27" s="231"/>
      <c r="T27" s="231"/>
      <c r="U27" s="233">
        <f>'Data Validation'!AD52</f>
        <v>0</v>
      </c>
      <c r="V27" s="234" t="str">
        <f>'Data Validation'!AE52</f>
        <v>Please enter a description for the meter</v>
      </c>
      <c r="W27" s="240"/>
    </row>
    <row r="28" spans="2:23" s="238" customFormat="1" ht="60" customHeight="1" x14ac:dyDescent="0.15">
      <c r="B28" s="229"/>
      <c r="C28" s="229"/>
      <c r="D28" s="229">
        <v>20</v>
      </c>
      <c r="E28" s="230"/>
      <c r="F28" s="230"/>
      <c r="G28" s="230"/>
      <c r="H28" s="239"/>
      <c r="I28" s="239"/>
      <c r="J28" s="230"/>
      <c r="K28" s="230"/>
      <c r="L28" s="230"/>
      <c r="M28" s="230"/>
      <c r="N28" s="230"/>
      <c r="O28" s="230"/>
      <c r="P28" s="231"/>
      <c r="Q28" s="232">
        <f>'Data Validation'!Z53</f>
        <v>0</v>
      </c>
      <c r="R28" s="231"/>
      <c r="S28" s="231"/>
      <c r="T28" s="231"/>
      <c r="U28" s="233">
        <f>'Data Validation'!AD53</f>
        <v>0</v>
      </c>
      <c r="V28" s="234" t="str">
        <f>'Data Validation'!AE53</f>
        <v>Please enter a description for the meter</v>
      </c>
      <c r="W28" s="240"/>
    </row>
  </sheetData>
  <sheetProtection algorithmName="SHA-512" hashValue="GhuxMAqM3ypA5nZoBoAdLjqOElyaaO2IJVowv2Uam1NCAy/0lJfHJsipoiNfhWCW6PhmFkbf9GSN533u9g9vxw==" saltValue="JIuoalEpTvtj9Hf4sArp0Q==" spinCount="100000" sheet="1" objects="1" scenarios="1"/>
  <mergeCells count="2">
    <mergeCell ref="J6:O6"/>
    <mergeCell ref="D2:H2"/>
  </mergeCells>
  <conditionalFormatting sqref="V9:V28">
    <cfRule type="containsText" dxfId="9" priority="2" operator="containsText" text="Complete">
      <formula>NOT(ISERROR(SEARCH("Complete",V9)))</formula>
    </cfRule>
    <cfRule type="containsText" dxfId="8" priority="3" operator="containsText" text="✖">
      <formula>NOT(ISERROR(SEARCH("✖",V9)))</formula>
    </cfRule>
    <cfRule type="containsText" dxfId="7" priority="4" operator="containsText" text="Please">
      <formula>NOT(ISERROR(SEARCH("Please",V9)))</formula>
    </cfRule>
  </conditionalFormatting>
  <conditionalFormatting sqref="T9:T28">
    <cfRule type="expression" dxfId="6" priority="1">
      <formula>COUNTIF(J9:O9,"Yes")&lt;2</formula>
    </cfRule>
  </conditionalFormatting>
  <dataValidations count="10">
    <dataValidation type="list" allowBlank="1" showInputMessage="1" showErrorMessage="1" sqref="G10:G28" xr:uid="{00000000-0002-0000-0200-000000000000}">
      <formula1>Fuel_type</formula1>
    </dataValidation>
    <dataValidation allowBlank="1" showInputMessage="1" showErrorMessage="1" error="The 'Assessed area metered' cannot be larger than the total assessed area. _x000a__x000a_Please ensure that data has been inserted within the 'Overview' tab." sqref="S1:T8 S29:T1048576" xr:uid="{00000000-0002-0000-0200-000001000000}"/>
    <dataValidation type="date" allowBlank="1" showInputMessage="1" showErrorMessage="1" sqref="H29:I1048576" xr:uid="{00000000-0002-0000-0200-000002000000}">
      <formula1>42005</formula1>
      <formula2>45658</formula2>
    </dataValidation>
    <dataValidation type="decimal" operator="greaterThan" allowBlank="1" showInputMessage="1" showErrorMessage="1" errorTitle="Minimum data" error="This data must be larger than zero (0 kWh)" sqref="P11:P28" xr:uid="{00000000-0002-0000-0200-000003000000}">
      <formula1>0</formula1>
    </dataValidation>
    <dataValidation type="date" allowBlank="1" showInputMessage="1" showErrorMessage="1" errorTitle="Date" error="This must be a date in the following format (DD-MMM-YY)" sqref="H9:I28" xr:uid="{00000000-0002-0000-0200-000004000000}">
      <formula1>42005</formula1>
      <formula2>45658</formula2>
    </dataValidation>
    <dataValidation type="decimal" operator="greaterThan" allowBlank="1" showInputMessage="1" showErrorMessage="1" error="This must be larger than zero (0)._x000a__x000a_The 'Assessed area metered' cannot be larger than the total assessed area. _x000a__x000a_Please ensure that data has been inserted within the 'Asset Information' tab." sqref="R11:S28" xr:uid="{0FE32C5D-070F-4117-ACEE-FA6D20172037}">
      <formula1>0</formula1>
    </dataValidation>
    <dataValidation type="decimal" operator="greaterThan" allowBlank="1" showInputMessage="1" showErrorMessage="1" errorTitle="Minimum data" error="This data must be larger than zero (0)" sqref="P9:P10" xr:uid="{0DF0FA8F-A515-45AC-8CD7-47DDB4072C58}">
      <formula1>0</formula1>
    </dataValidation>
    <dataValidation type="decimal" operator="greaterThan" allowBlank="1" showInputMessage="1" showErrorMessage="1" error="This must be larger than zero (0)_x000a__x000a_The 'Assessed area metered' cannot be larger than the total assessed area. _x000a__x000a_Please ensure that data has been inserted within the Asset Information tab." sqref="R9:S10" xr:uid="{628DFA56-F0F3-488A-B80D-CFD72A44F200}">
      <formula1>0</formula1>
    </dataValidation>
    <dataValidation type="list" allowBlank="1" showInputMessage="1" showErrorMessage="1" sqref="G9" xr:uid="{BD613AA9-1586-46AF-9066-D15192118BBC}">
      <formula1>Fuel_Type2</formula1>
    </dataValidation>
    <dataValidation type="list" allowBlank="1" showInputMessage="1" showErrorMessage="1" sqref="J9:O10" xr:uid="{2871DBEA-1964-4D66-97B2-635467CA3677}">
      <formula1>#REF!</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5000000}">
          <x14:formula1>
            <xm:f>'v6 picksheet'!$C$2:$C$3</xm:f>
          </x14:formula1>
          <xm:sqref>J11:O28</xm:sqref>
        </x14:dataValidation>
        <x14:dataValidation type="list" allowBlank="1" showInputMessage="1" showErrorMessage="1" error="The 'Assessed area metered' cannot be larger than the total assessed area. _x000a__x000a_Please ensure that data has been inserted within the 'Overview' tab." xr:uid="{00000000-0002-0000-0200-000006000000}">
          <x14:formula1>
            <xm:f>'v6 picksheet'!$C$2:$C$3</xm:f>
          </x14:formula1>
          <xm:sqref>T9:T28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09"/>
  <sheetViews>
    <sheetView showGridLines="0" zoomScale="85" zoomScaleNormal="85" workbookViewId="0">
      <selection activeCell="C25" sqref="C25"/>
    </sheetView>
  </sheetViews>
  <sheetFormatPr baseColWidth="10" defaultColWidth="0" defaultRowHeight="15" zeroHeight="1" x14ac:dyDescent="0.2"/>
  <cols>
    <col min="1" max="1" width="2.33203125" customWidth="1"/>
    <col min="2" max="2" width="61.5" customWidth="1"/>
    <col min="3" max="3" width="40.83203125" customWidth="1"/>
    <col min="4" max="4" width="26.5" customWidth="1"/>
    <col min="5" max="5" width="25.33203125" hidden="1" customWidth="1"/>
    <col min="6" max="6" width="28.6640625" hidden="1" customWidth="1"/>
    <col min="7" max="7" width="24.83203125" hidden="1" customWidth="1"/>
    <col min="8" max="8" width="0" hidden="1" customWidth="1"/>
    <col min="9" max="16384" width="9.1640625" hidden="1"/>
  </cols>
  <sheetData>
    <row r="1" spans="2:7" ht="12" customHeight="1" x14ac:dyDescent="0.2"/>
    <row r="2" spans="2:7" ht="60" customHeight="1" x14ac:dyDescent="0.2">
      <c r="B2" s="250" t="s">
        <v>75</v>
      </c>
      <c r="C2" s="250"/>
      <c r="D2" s="17"/>
      <c r="E2" s="17"/>
    </row>
    <row r="4" spans="2:7" x14ac:dyDescent="0.2"/>
    <row r="5" spans="2:7" s="1" customFormat="1" ht="25.25" customHeight="1" x14ac:dyDescent="0.2">
      <c r="B5" s="22" t="s">
        <v>125</v>
      </c>
      <c r="C5" s="20" t="s">
        <v>126</v>
      </c>
      <c r="D5"/>
      <c r="E5"/>
      <c r="F5"/>
      <c r="G5"/>
    </row>
    <row r="6" spans="2:7" s="1" customFormat="1" ht="20" customHeight="1" x14ac:dyDescent="0.2">
      <c r="B6" s="23" t="str">
        <f>CONCATENATE("Ene 19 - ",+'v6 picksheet'!A2)</f>
        <v>Ene 19 - mains supplied electricity</v>
      </c>
      <c r="C6" s="175">
        <f>ROUND('Data Validation'!C3,2)</f>
        <v>0</v>
      </c>
      <c r="D6"/>
      <c r="E6"/>
      <c r="F6"/>
      <c r="G6"/>
    </row>
    <row r="7" spans="2:7" s="2" customFormat="1" ht="20" customHeight="1" x14ac:dyDescent="0.2">
      <c r="B7" s="23" t="str">
        <f>CONCATENATE("Ene 19 - ",+'v6 picksheet'!A3)</f>
        <v>Ene 19 - Natural gas</v>
      </c>
      <c r="C7" s="175">
        <f>ROUND('Data Validation'!C4,2)</f>
        <v>0</v>
      </c>
      <c r="D7"/>
      <c r="E7"/>
      <c r="F7"/>
      <c r="G7"/>
    </row>
    <row r="8" spans="2:7" s="2" customFormat="1" ht="20" customHeight="1" x14ac:dyDescent="0.2">
      <c r="B8" s="23" t="str">
        <f>CONCATENATE("Ene 19 - ",+'v6 picksheet'!A4)</f>
        <v>Ene 19 - Burning oil/kerosene</v>
      </c>
      <c r="C8" s="175">
        <f>ROUND('Data Validation'!C5,2)</f>
        <v>0</v>
      </c>
      <c r="D8"/>
      <c r="E8"/>
      <c r="F8"/>
      <c r="G8"/>
    </row>
    <row r="9" spans="2:7" s="2" customFormat="1" ht="20" customHeight="1" x14ac:dyDescent="0.2">
      <c r="B9" s="23" t="str">
        <f>CONCATENATE("Ene 19 - ",+'v6 picksheet'!A5)</f>
        <v>Ene 19 - Gas oil</v>
      </c>
      <c r="C9" s="175">
        <f>ROUND('Data Validation'!C6,2)</f>
        <v>0</v>
      </c>
      <c r="D9"/>
      <c r="E9"/>
      <c r="F9"/>
      <c r="G9"/>
    </row>
    <row r="10" spans="2:7" s="2" customFormat="1" ht="20" customHeight="1" x14ac:dyDescent="0.2">
      <c r="B10" s="23" t="str">
        <f>CONCATENATE("Ene 19 - ",+'v6 picksheet'!A6)</f>
        <v>Ene 19 - Fuel oil</v>
      </c>
      <c r="C10" s="175">
        <f>ROUND('Data Validation'!C7,2)</f>
        <v>0</v>
      </c>
      <c r="D10"/>
      <c r="E10"/>
      <c r="F10"/>
      <c r="G10"/>
    </row>
    <row r="11" spans="2:7" s="2" customFormat="1" ht="20" customHeight="1" x14ac:dyDescent="0.2">
      <c r="B11" s="23" t="str">
        <f>CONCATENATE("Ene 19 - ",+'v6 picksheet'!A7)</f>
        <v>Ene 19 - Diesel</v>
      </c>
      <c r="C11" s="175">
        <f>ROUND('Data Validation'!C8,2)</f>
        <v>0</v>
      </c>
      <c r="D11"/>
      <c r="E11"/>
      <c r="F11"/>
      <c r="G11"/>
    </row>
    <row r="12" spans="2:7" s="2" customFormat="1" ht="20" customHeight="1" x14ac:dyDescent="0.2">
      <c r="B12" s="23" t="str">
        <f>CONCATENATE("Ene 19 - ",+'v6 picksheet'!A8)</f>
        <v>Ene 19 - LPG</v>
      </c>
      <c r="C12" s="175">
        <f>ROUND('Data Validation'!C9,2)</f>
        <v>0</v>
      </c>
      <c r="D12"/>
      <c r="E12"/>
      <c r="F12"/>
      <c r="G12"/>
    </row>
    <row r="13" spans="2:7" s="2" customFormat="1" ht="20" customHeight="1" x14ac:dyDescent="0.2">
      <c r="B13" s="23" t="str">
        <f>CONCATENATE("Ene 19 - ",+'v6 picksheet'!A9)</f>
        <v>Ene 19 - Other petroleum gas</v>
      </c>
      <c r="C13" s="175">
        <f>ROUND('Data Validation'!C10,2)</f>
        <v>0</v>
      </c>
      <c r="D13"/>
      <c r="E13"/>
      <c r="F13"/>
      <c r="G13"/>
    </row>
    <row r="14" spans="2:7" s="2" customFormat="1" ht="20" customHeight="1" x14ac:dyDescent="0.2">
      <c r="B14" s="23" t="str">
        <f>CONCATENATE("Ene 19 - ",+'v6 picksheet'!A10)</f>
        <v>Ene 19 - Coal</v>
      </c>
      <c r="C14" s="175">
        <f>ROUND('Data Validation'!C11,2)</f>
        <v>0</v>
      </c>
      <c r="D14"/>
      <c r="E14"/>
      <c r="F14"/>
      <c r="G14"/>
    </row>
    <row r="15" spans="2:7" s="2" customFormat="1" ht="20" customHeight="1" x14ac:dyDescent="0.2">
      <c r="B15" s="23" t="str">
        <f>CONCATENATE("Ene 19 - ",+'v6 picksheet'!A11)</f>
        <v>Ene 19 - Biodiesels</v>
      </c>
      <c r="C15" s="175">
        <f>ROUND('Data Validation'!C12,2)</f>
        <v>0</v>
      </c>
      <c r="D15"/>
      <c r="E15"/>
      <c r="F15"/>
      <c r="G15"/>
    </row>
    <row r="16" spans="2:7" s="2" customFormat="1" ht="20" customHeight="1" x14ac:dyDescent="0.2">
      <c r="B16" s="23" t="str">
        <f>CONCATENATE("Ene 19 - ",+'v6 picksheet'!A12)</f>
        <v>Ene 19 - Landfill gas</v>
      </c>
      <c r="C16" s="175">
        <f>ROUND('Data Validation'!C13,2)</f>
        <v>0</v>
      </c>
      <c r="D16"/>
      <c r="E16"/>
      <c r="F16"/>
      <c r="G16"/>
    </row>
    <row r="17" spans="2:7" s="2" customFormat="1" ht="20" customHeight="1" x14ac:dyDescent="0.2">
      <c r="B17" s="23" t="str">
        <f>CONCATENATE("Ene 19 - ",+'v6 picksheet'!A13)</f>
        <v>Ene 19 - Other biogas</v>
      </c>
      <c r="C17" s="175">
        <f>ROUND('Data Validation'!C14,2)</f>
        <v>0</v>
      </c>
      <c r="D17"/>
      <c r="E17"/>
      <c r="F17"/>
      <c r="G17"/>
    </row>
    <row r="18" spans="2:7" s="2" customFormat="1" ht="20" customHeight="1" x14ac:dyDescent="0.2">
      <c r="B18" s="23" t="str">
        <f>CONCATENATE("Ene 19 - ",+'v6 picksheet'!A14)</f>
        <v>Ene 19 - Wood</v>
      </c>
      <c r="C18" s="175">
        <f>ROUND('Data Validation'!C15,2)</f>
        <v>0</v>
      </c>
      <c r="D18"/>
      <c r="E18"/>
      <c r="F18"/>
      <c r="G18"/>
    </row>
    <row r="19" spans="2:7" s="2" customFormat="1" ht="20" customHeight="1" x14ac:dyDescent="0.2">
      <c r="B19" s="23" t="str">
        <f>CONCATENATE("Ene 19 - ",+'v6 picksheet'!A15)</f>
        <v>Ene 19 - Renewable heat source or renewable cooling source</v>
      </c>
      <c r="C19" s="175">
        <f>ROUND('Data Validation'!C16,2)</f>
        <v>0</v>
      </c>
      <c r="D19"/>
      <c r="E19"/>
      <c r="F19"/>
      <c r="G19"/>
    </row>
    <row r="20" spans="2:7" s="2" customFormat="1" ht="20" customHeight="1" x14ac:dyDescent="0.2">
      <c r="B20" s="23" t="str">
        <f>CONCATENATE("Ene 19 - ",+'v6 picksheet'!A16)</f>
        <v>Ene 19 - District heating</v>
      </c>
      <c r="C20" s="175">
        <f>ROUND('Data Validation'!C17,2)</f>
        <v>0</v>
      </c>
      <c r="D20"/>
      <c r="E20"/>
      <c r="F20"/>
      <c r="G20"/>
    </row>
    <row r="21" spans="2:7" s="2" customFormat="1" ht="20" customHeight="1" x14ac:dyDescent="0.2">
      <c r="B21" s="23" t="str">
        <f>CONCATENATE("Ene 19 - ",+'v6 picksheet'!A17)</f>
        <v>Ene 19 - District cooling</v>
      </c>
      <c r="C21" s="175">
        <f>ROUND('Data Validation'!C18,2)</f>
        <v>0</v>
      </c>
      <c r="D21"/>
      <c r="E21"/>
      <c r="F21"/>
      <c r="G21"/>
    </row>
    <row r="22" spans="2:7" s="2" customFormat="1" ht="20" customHeight="1" x14ac:dyDescent="0.2">
      <c r="B22" s="23" t="str">
        <f>CONCATENATE("Ene 21 - ",+'v6 picksheet'!A18)</f>
        <v>Ene 21 - renewable electricity generated onsite</v>
      </c>
      <c r="C22" s="175">
        <f>ROUND('Data Validation'!C19,2)</f>
        <v>0</v>
      </c>
      <c r="D22"/>
      <c r="E22"/>
      <c r="F22"/>
      <c r="G22"/>
    </row>
    <row r="23" spans="2:7" s="2" customFormat="1" ht="20" customHeight="1" x14ac:dyDescent="0.2">
      <c r="B23"/>
      <c r="C23"/>
      <c r="D23"/>
      <c r="E23"/>
      <c r="F23"/>
      <c r="G23"/>
    </row>
    <row r="24" spans="2:7" hidden="1" x14ac:dyDescent="0.2">
      <c r="B24" s="40"/>
      <c r="C24" s="41"/>
    </row>
    <row r="25" spans="2:7" ht="32" x14ac:dyDescent="0.2">
      <c r="B25" s="39" t="s">
        <v>127</v>
      </c>
      <c r="C25" s="42"/>
      <c r="D25" s="173">
        <f>IF(C25="Yes",1,0)</f>
        <v>0</v>
      </c>
      <c r="E25" s="173">
        <f>D25*D26</f>
        <v>0</v>
      </c>
    </row>
    <row r="26" spans="2:7" ht="32" x14ac:dyDescent="0.2">
      <c r="B26" s="39" t="s">
        <v>128</v>
      </c>
      <c r="C26" s="42"/>
      <c r="D26" s="173">
        <f>IF(C26="Yes",1,0)</f>
        <v>0</v>
      </c>
      <c r="E26" s="173"/>
    </row>
    <row r="27" spans="2:7" s="1" customFormat="1" ht="24.75" customHeight="1" x14ac:dyDescent="0.2">
      <c r="E27"/>
      <c r="F27"/>
      <c r="G27"/>
    </row>
    <row r="28" spans="2:7" s="1" customFormat="1" ht="50" hidden="1" customHeight="1" x14ac:dyDescent="0.2">
      <c r="B28" s="21" t="s">
        <v>129</v>
      </c>
      <c r="C28" s="176" t="str">
        <f>(IF('Data Validation'!BQ50=FALSE,"Please complete the 'Asset Information' tab",IF(SUM('Data Validation'!AM31:AZ31)&gt;0,"There are errors in the 'Consumption Data' sheet",IF(E25=1,+'v6 calculation'!S99,"Please confirm compliance with guidance and completion of assessor comments"))))</f>
        <v>Please complete the 'Asset Information' tab</v>
      </c>
      <c r="D28" s="174"/>
      <c r="E28"/>
      <c r="F28"/>
      <c r="G28"/>
    </row>
    <row r="29" spans="2:7" s="1" customFormat="1" ht="33.5" hidden="1" customHeight="1" x14ac:dyDescent="0.2">
      <c r="B29" s="21" t="s">
        <v>130</v>
      </c>
      <c r="C29" s="176" t="str">
        <f>(IF('Data Validation'!BQ50=FALSE,"Please complete the 'Asset Information' tab",IF(SUM('Data Validation'!AM31:AZ31)&gt;0,"There are errors in the 'Consumption Data' sheet",IF(E25=1,+'v6 calculation'!S100,"Please confirm compliance with guidance and completion of assessor comments"))))</f>
        <v>Please complete the 'Asset Information' tab</v>
      </c>
      <c r="D29"/>
      <c r="E29"/>
      <c r="F29"/>
      <c r="G29"/>
    </row>
    <row r="30" spans="2:7" s="2" customFormat="1" ht="24" customHeight="1" x14ac:dyDescent="0.2">
      <c r="B30" s="21" t="str">
        <f>'Data Validation'!H28</f>
        <v>Final percentage of credits available</v>
      </c>
      <c r="C30" s="188" t="e">
        <f>'Data Validation'!H29</f>
        <v>#DIV/0!</v>
      </c>
      <c r="D30"/>
      <c r="E30"/>
      <c r="F30"/>
      <c r="G30"/>
    </row>
    <row r="31" spans="2:7" s="2" customFormat="1" ht="14.5" customHeight="1" x14ac:dyDescent="0.2">
      <c r="B31"/>
      <c r="C31"/>
      <c r="D31"/>
      <c r="E31"/>
      <c r="F31"/>
      <c r="G31"/>
    </row>
    <row r="32" spans="2:7" s="2" customFormat="1" ht="14.5" customHeight="1" x14ac:dyDescent="0.2">
      <c r="B32"/>
      <c r="C32"/>
      <c r="D32"/>
      <c r="E32"/>
      <c r="F32"/>
      <c r="G32"/>
    </row>
    <row r="33" spans="2:7" s="2" customFormat="1" ht="14.5" hidden="1" customHeight="1" x14ac:dyDescent="0.2">
      <c r="B33"/>
      <c r="C33"/>
      <c r="D33"/>
      <c r="E33"/>
      <c r="F33"/>
      <c r="G33"/>
    </row>
    <row r="34" spans="2:7" s="2" customFormat="1" ht="14.5" hidden="1" customHeight="1" x14ac:dyDescent="0.2">
      <c r="B34"/>
      <c r="C34"/>
      <c r="D34"/>
      <c r="E34"/>
      <c r="F34"/>
      <c r="G34"/>
    </row>
    <row r="35" spans="2:7" s="2" customFormat="1" ht="14.5" hidden="1" customHeight="1" x14ac:dyDescent="0.2">
      <c r="B35"/>
      <c r="C35"/>
      <c r="D35"/>
      <c r="E35"/>
      <c r="F35"/>
      <c r="G35"/>
    </row>
    <row r="36" spans="2:7" s="2" customFormat="1" ht="14.5" hidden="1" customHeight="1" x14ac:dyDescent="0.2">
      <c r="B36"/>
      <c r="C36"/>
      <c r="D36"/>
      <c r="E36"/>
      <c r="F36"/>
      <c r="G36"/>
    </row>
    <row r="37" spans="2:7" s="2" customFormat="1" ht="14.5" hidden="1" customHeight="1" x14ac:dyDescent="0.2">
      <c r="B37"/>
      <c r="C37"/>
      <c r="D37"/>
      <c r="E37"/>
      <c r="F37"/>
      <c r="G37"/>
    </row>
    <row r="38" spans="2:7" s="2" customFormat="1" ht="14.5" hidden="1" customHeight="1" x14ac:dyDescent="0.2">
      <c r="B38"/>
      <c r="C38"/>
      <c r="D38"/>
      <c r="E38"/>
      <c r="F38"/>
      <c r="G38"/>
    </row>
    <row r="39" spans="2:7" s="2" customFormat="1" ht="14.5" hidden="1" customHeight="1" x14ac:dyDescent="0.2">
      <c r="B39"/>
      <c r="C39"/>
      <c r="D39"/>
      <c r="E39"/>
      <c r="F39"/>
      <c r="G39"/>
    </row>
    <row r="40" spans="2:7" s="2" customFormat="1" ht="14.5" hidden="1" customHeight="1" x14ac:dyDescent="0.2">
      <c r="B40"/>
      <c r="C40"/>
      <c r="D40"/>
      <c r="E40"/>
      <c r="F40"/>
      <c r="G40"/>
    </row>
    <row r="41" spans="2:7" s="2" customFormat="1" ht="14.5" hidden="1" customHeight="1" x14ac:dyDescent="0.2">
      <c r="B41"/>
      <c r="C41"/>
      <c r="D41"/>
      <c r="E41"/>
      <c r="F41"/>
      <c r="G41"/>
    </row>
    <row r="42" spans="2:7" s="2" customFormat="1" ht="14.5" hidden="1" customHeight="1" x14ac:dyDescent="0.2">
      <c r="B42"/>
      <c r="C42"/>
      <c r="D42"/>
      <c r="E42"/>
      <c r="F42"/>
      <c r="G42"/>
    </row>
    <row r="43" spans="2:7" s="2" customFormat="1" ht="14.5" hidden="1" customHeight="1" x14ac:dyDescent="0.2">
      <c r="B43"/>
      <c r="C43"/>
      <c r="D43"/>
      <c r="E43"/>
      <c r="F43"/>
      <c r="G43"/>
    </row>
    <row r="44" spans="2:7" s="2" customFormat="1" ht="14.5" hidden="1" customHeight="1" x14ac:dyDescent="0.2">
      <c r="B44"/>
      <c r="C44"/>
      <c r="D44"/>
      <c r="E44"/>
      <c r="F44"/>
      <c r="G44"/>
    </row>
    <row r="45" spans="2:7" s="2" customFormat="1" ht="14.5" hidden="1" customHeight="1" x14ac:dyDescent="0.2">
      <c r="B45"/>
      <c r="C45"/>
      <c r="D45"/>
      <c r="E45"/>
      <c r="F45"/>
      <c r="G45"/>
    </row>
    <row r="46" spans="2:7" s="2" customFormat="1" ht="14.5" hidden="1" customHeight="1" x14ac:dyDescent="0.2">
      <c r="B46"/>
      <c r="C46"/>
      <c r="D46"/>
      <c r="E46"/>
      <c r="F46"/>
      <c r="G46"/>
    </row>
    <row r="47" spans="2:7" s="2" customFormat="1" ht="14.5" hidden="1" customHeight="1" x14ac:dyDescent="0.2">
      <c r="B47"/>
      <c r="C47"/>
      <c r="D47"/>
      <c r="E47"/>
      <c r="F47"/>
      <c r="G47"/>
    </row>
    <row r="48" spans="2:7" s="2" customFormat="1" ht="14.5" hidden="1" customHeight="1" x14ac:dyDescent="0.2">
      <c r="B48"/>
      <c r="C48"/>
      <c r="D48"/>
      <c r="E48"/>
      <c r="F48"/>
      <c r="G48"/>
    </row>
    <row r="49" spans="2:7" s="2" customFormat="1" ht="14.5" hidden="1" customHeight="1" x14ac:dyDescent="0.2">
      <c r="B49"/>
      <c r="C49"/>
      <c r="D49"/>
      <c r="E49"/>
      <c r="F49"/>
      <c r="G49"/>
    </row>
    <row r="50" spans="2:7" s="2" customFormat="1" ht="14.5" hidden="1" customHeight="1" x14ac:dyDescent="0.2">
      <c r="B50"/>
      <c r="C50"/>
      <c r="D50"/>
      <c r="E50"/>
      <c r="F50"/>
      <c r="G50"/>
    </row>
    <row r="51" spans="2:7" s="2" customFormat="1" ht="14.5" hidden="1" customHeight="1" x14ac:dyDescent="0.2">
      <c r="B51"/>
      <c r="C51"/>
      <c r="D51"/>
      <c r="E51"/>
      <c r="F51"/>
      <c r="G51"/>
    </row>
    <row r="52" spans="2:7" s="2" customFormat="1" ht="14.5" hidden="1" customHeight="1" x14ac:dyDescent="0.2">
      <c r="B52"/>
      <c r="C52"/>
      <c r="D52"/>
      <c r="E52"/>
      <c r="F52"/>
      <c r="G52"/>
    </row>
    <row r="53" spans="2:7" s="2" customFormat="1" ht="14.5" hidden="1" customHeight="1" x14ac:dyDescent="0.2">
      <c r="B53"/>
      <c r="C53"/>
      <c r="D53"/>
      <c r="E53"/>
      <c r="F53"/>
      <c r="G53"/>
    </row>
    <row r="54" spans="2:7" s="2" customFormat="1" ht="14.5" hidden="1" customHeight="1" x14ac:dyDescent="0.2">
      <c r="B54"/>
      <c r="C54"/>
      <c r="D54"/>
      <c r="E54"/>
      <c r="F54"/>
      <c r="G54"/>
    </row>
    <row r="55" spans="2:7" s="2" customFormat="1" ht="14.5" hidden="1" customHeight="1" x14ac:dyDescent="0.2">
      <c r="B55"/>
      <c r="C55"/>
      <c r="D55"/>
      <c r="E55"/>
      <c r="F55"/>
      <c r="G55"/>
    </row>
    <row r="56" spans="2:7" s="2" customFormat="1" ht="14.5" hidden="1" customHeight="1" x14ac:dyDescent="0.2">
      <c r="B56"/>
      <c r="C56"/>
      <c r="D56"/>
      <c r="E56"/>
      <c r="F56"/>
      <c r="G56"/>
    </row>
    <row r="57" spans="2:7" s="2" customFormat="1" ht="14.5" hidden="1" customHeight="1" x14ac:dyDescent="0.2">
      <c r="B57"/>
      <c r="C57"/>
      <c r="D57"/>
      <c r="E57"/>
      <c r="F57"/>
      <c r="G57"/>
    </row>
    <row r="58" spans="2:7" s="2" customFormat="1" ht="14.5" hidden="1" customHeight="1" x14ac:dyDescent="0.2">
      <c r="B58"/>
      <c r="C58"/>
      <c r="D58"/>
      <c r="E58"/>
      <c r="F58"/>
      <c r="G58"/>
    </row>
    <row r="59" spans="2:7" s="2" customFormat="1" ht="14.5" hidden="1" customHeight="1" x14ac:dyDescent="0.2">
      <c r="B59"/>
      <c r="C59"/>
      <c r="D59"/>
      <c r="E59"/>
      <c r="F59"/>
      <c r="G59"/>
    </row>
    <row r="60" spans="2:7" s="2" customFormat="1" ht="14.5" hidden="1" customHeight="1" x14ac:dyDescent="0.2">
      <c r="B60"/>
      <c r="C60"/>
      <c r="D60"/>
      <c r="E60"/>
      <c r="F60"/>
      <c r="G60"/>
    </row>
    <row r="61" spans="2:7" s="2" customFormat="1" ht="14.5" hidden="1" customHeight="1" x14ac:dyDescent="0.2">
      <c r="B61"/>
      <c r="C61"/>
      <c r="D61"/>
      <c r="E61"/>
      <c r="F61"/>
      <c r="G61"/>
    </row>
    <row r="62" spans="2:7" s="2" customFormat="1" ht="14.5" hidden="1" customHeight="1" x14ac:dyDescent="0.2">
      <c r="B62"/>
      <c r="C62"/>
      <c r="D62"/>
      <c r="E62"/>
      <c r="F62"/>
      <c r="G62"/>
    </row>
    <row r="63" spans="2:7" s="2" customFormat="1" ht="14.5" hidden="1" customHeight="1" x14ac:dyDescent="0.2">
      <c r="B63"/>
      <c r="C63"/>
      <c r="D63"/>
      <c r="E63"/>
      <c r="F63"/>
      <c r="G63"/>
    </row>
    <row r="64" spans="2:7" s="2" customFormat="1" ht="14.5" hidden="1" customHeight="1" x14ac:dyDescent="0.2">
      <c r="B64"/>
      <c r="C64"/>
      <c r="D64"/>
      <c r="E64"/>
      <c r="F64"/>
      <c r="G64"/>
    </row>
    <row r="65" spans="2:7" s="2" customFormat="1" ht="14.5" hidden="1" customHeight="1" x14ac:dyDescent="0.2">
      <c r="B65"/>
      <c r="C65"/>
      <c r="D65"/>
      <c r="E65"/>
      <c r="F65"/>
      <c r="G65"/>
    </row>
    <row r="66" spans="2:7" s="2" customFormat="1" ht="14.5" hidden="1" customHeight="1" x14ac:dyDescent="0.2">
      <c r="B66"/>
      <c r="C66"/>
      <c r="D66"/>
      <c r="E66"/>
      <c r="F66"/>
      <c r="G66"/>
    </row>
    <row r="67" spans="2:7" s="2" customFormat="1" ht="14.5" hidden="1" customHeight="1" x14ac:dyDescent="0.2">
      <c r="B67"/>
      <c r="C67"/>
      <c r="D67"/>
      <c r="E67"/>
      <c r="F67"/>
      <c r="G67"/>
    </row>
    <row r="68" spans="2:7" s="2" customFormat="1" ht="14.5" hidden="1" customHeight="1" x14ac:dyDescent="0.2">
      <c r="B68"/>
      <c r="C68"/>
      <c r="D68"/>
      <c r="E68"/>
      <c r="F68"/>
      <c r="G68"/>
    </row>
    <row r="69" spans="2:7" s="2" customFormat="1" ht="14.5" hidden="1" customHeight="1" x14ac:dyDescent="0.2">
      <c r="B69"/>
      <c r="C69"/>
      <c r="D69"/>
      <c r="E69"/>
      <c r="F69"/>
      <c r="G69"/>
    </row>
    <row r="70" spans="2:7" s="2" customFormat="1" ht="14.5" hidden="1" customHeight="1" x14ac:dyDescent="0.2">
      <c r="B70"/>
      <c r="C70"/>
      <c r="D70"/>
      <c r="E70"/>
      <c r="F70"/>
      <c r="G70"/>
    </row>
    <row r="71" spans="2:7" s="2" customFormat="1" ht="14.5" hidden="1" customHeight="1" x14ac:dyDescent="0.2">
      <c r="B71"/>
      <c r="C71"/>
      <c r="D71"/>
      <c r="E71"/>
      <c r="F71"/>
      <c r="G71"/>
    </row>
    <row r="72" spans="2:7" s="2" customFormat="1" ht="14.5" hidden="1" customHeight="1" x14ac:dyDescent="0.2">
      <c r="B72"/>
      <c r="C72"/>
      <c r="D72"/>
      <c r="E72"/>
      <c r="F72"/>
      <c r="G72"/>
    </row>
    <row r="73" spans="2:7" s="2" customFormat="1" ht="14.5" hidden="1" customHeight="1" x14ac:dyDescent="0.2">
      <c r="B73"/>
      <c r="C73"/>
      <c r="D73"/>
      <c r="E73"/>
      <c r="F73"/>
      <c r="G73"/>
    </row>
    <row r="74" spans="2:7" s="2" customFormat="1" ht="14.5" hidden="1" customHeight="1" x14ac:dyDescent="0.2">
      <c r="B74"/>
      <c r="C74"/>
      <c r="D74"/>
      <c r="E74"/>
      <c r="F74"/>
      <c r="G74"/>
    </row>
    <row r="75" spans="2:7" s="2" customFormat="1" ht="14.5" hidden="1" customHeight="1" x14ac:dyDescent="0.2">
      <c r="B75"/>
      <c r="C75"/>
      <c r="D75"/>
      <c r="E75"/>
      <c r="F75"/>
      <c r="G75"/>
    </row>
    <row r="76" spans="2:7" s="2" customFormat="1" ht="14.5" hidden="1" customHeight="1" x14ac:dyDescent="0.2">
      <c r="B76"/>
      <c r="C76"/>
      <c r="D76"/>
      <c r="E76"/>
      <c r="F76"/>
      <c r="G76"/>
    </row>
    <row r="77" spans="2:7" s="2" customFormat="1" ht="14.5" hidden="1" customHeight="1" x14ac:dyDescent="0.2">
      <c r="B77"/>
      <c r="C77"/>
      <c r="D77"/>
      <c r="E77"/>
      <c r="F77"/>
      <c r="G77"/>
    </row>
    <row r="78" spans="2:7" s="2" customFormat="1" ht="14.5" hidden="1" customHeight="1" x14ac:dyDescent="0.2">
      <c r="B78"/>
      <c r="C78"/>
      <c r="D78"/>
      <c r="E78"/>
      <c r="F78"/>
      <c r="G78"/>
    </row>
    <row r="79" spans="2:7" s="2" customFormat="1" ht="14.5" hidden="1" customHeight="1" x14ac:dyDescent="0.2">
      <c r="B79"/>
      <c r="C79"/>
      <c r="D79"/>
      <c r="E79"/>
      <c r="F79"/>
      <c r="G79"/>
    </row>
    <row r="80" spans="2:7" s="2" customFormat="1" ht="14.5" hidden="1" customHeight="1" x14ac:dyDescent="0.2">
      <c r="B80"/>
      <c r="C80"/>
      <c r="D80"/>
      <c r="E80"/>
      <c r="F80"/>
      <c r="G80"/>
    </row>
    <row r="81" spans="2:7" s="2" customFormat="1" ht="14.5" hidden="1" customHeight="1" x14ac:dyDescent="0.2">
      <c r="B81"/>
      <c r="C81"/>
      <c r="D81"/>
      <c r="E81"/>
      <c r="F81"/>
      <c r="G81"/>
    </row>
    <row r="82" spans="2:7" s="2" customFormat="1" ht="14.5" hidden="1" customHeight="1" x14ac:dyDescent="0.2">
      <c r="B82"/>
      <c r="C82"/>
      <c r="D82"/>
      <c r="E82"/>
      <c r="F82"/>
      <c r="G82"/>
    </row>
    <row r="83" spans="2:7" s="2" customFormat="1" ht="14.5" hidden="1" customHeight="1" x14ac:dyDescent="0.2">
      <c r="B83"/>
      <c r="C83"/>
      <c r="D83"/>
      <c r="E83"/>
      <c r="F83"/>
      <c r="G83"/>
    </row>
    <row r="84" spans="2:7" s="2" customFormat="1" ht="14.5" hidden="1" customHeight="1" x14ac:dyDescent="0.2">
      <c r="B84"/>
      <c r="C84"/>
      <c r="D84"/>
      <c r="E84"/>
      <c r="F84"/>
      <c r="G84"/>
    </row>
    <row r="85" spans="2:7" s="2" customFormat="1" ht="14.5" hidden="1" customHeight="1" x14ac:dyDescent="0.2">
      <c r="B85"/>
      <c r="C85"/>
      <c r="D85"/>
      <c r="E85"/>
      <c r="F85"/>
      <c r="G85"/>
    </row>
    <row r="86" spans="2:7" s="2" customFormat="1" ht="14.5" hidden="1" customHeight="1" x14ac:dyDescent="0.2">
      <c r="B86"/>
      <c r="C86"/>
      <c r="D86"/>
      <c r="E86"/>
      <c r="F86"/>
      <c r="G86"/>
    </row>
    <row r="87" spans="2:7" s="2" customFormat="1" ht="14.5" hidden="1" customHeight="1" x14ac:dyDescent="0.2">
      <c r="B87"/>
      <c r="C87"/>
      <c r="D87"/>
      <c r="E87"/>
      <c r="F87"/>
      <c r="G87"/>
    </row>
    <row r="88" spans="2:7" s="2" customFormat="1" ht="14.5" hidden="1" customHeight="1" x14ac:dyDescent="0.2">
      <c r="B88"/>
      <c r="C88"/>
      <c r="D88"/>
      <c r="E88"/>
      <c r="F88"/>
      <c r="G88"/>
    </row>
    <row r="89" spans="2:7" s="2" customFormat="1" ht="14.5" hidden="1" customHeight="1" x14ac:dyDescent="0.2">
      <c r="B89"/>
      <c r="C89"/>
      <c r="D89"/>
      <c r="E89"/>
      <c r="F89"/>
      <c r="G89"/>
    </row>
    <row r="90" spans="2:7" s="2" customFormat="1" ht="14.5" hidden="1" customHeight="1" x14ac:dyDescent="0.2">
      <c r="B90"/>
      <c r="C90"/>
      <c r="D90"/>
      <c r="E90"/>
      <c r="F90"/>
      <c r="G90"/>
    </row>
    <row r="91" spans="2:7" s="2" customFormat="1" ht="14.5" hidden="1" customHeight="1" x14ac:dyDescent="0.2">
      <c r="B91"/>
      <c r="C91"/>
      <c r="D91"/>
      <c r="E91"/>
      <c r="F91"/>
      <c r="G91"/>
    </row>
    <row r="92" spans="2:7" s="2" customFormat="1" ht="14.5" hidden="1" customHeight="1" x14ac:dyDescent="0.2">
      <c r="B92"/>
      <c r="C92"/>
      <c r="D92"/>
      <c r="E92"/>
      <c r="F92"/>
      <c r="G92"/>
    </row>
    <row r="93" spans="2:7" s="2" customFormat="1" ht="14.5" hidden="1" customHeight="1" x14ac:dyDescent="0.2">
      <c r="B93"/>
      <c r="C93"/>
      <c r="D93"/>
      <c r="E93"/>
      <c r="F93"/>
      <c r="G93"/>
    </row>
    <row r="94" spans="2:7" s="2" customFormat="1" ht="14.5" hidden="1" customHeight="1" x14ac:dyDescent="0.2">
      <c r="B94"/>
      <c r="C94"/>
      <c r="D94"/>
      <c r="E94"/>
      <c r="F94"/>
      <c r="G94"/>
    </row>
    <row r="95" spans="2:7" s="2" customFormat="1" ht="14.5" hidden="1" customHeight="1" x14ac:dyDescent="0.2">
      <c r="B95"/>
      <c r="C95"/>
      <c r="D95"/>
      <c r="E95"/>
      <c r="F95"/>
      <c r="G95"/>
    </row>
    <row r="96" spans="2:7" s="2" customFormat="1" ht="14.5" hidden="1" customHeight="1" x14ac:dyDescent="0.2">
      <c r="B96"/>
      <c r="C96"/>
      <c r="D96"/>
      <c r="E96"/>
      <c r="F96"/>
      <c r="G96"/>
    </row>
    <row r="97" spans="2:7" s="2" customFormat="1" ht="14.5" hidden="1" customHeight="1" x14ac:dyDescent="0.2">
      <c r="B97"/>
      <c r="C97"/>
      <c r="D97"/>
      <c r="E97"/>
      <c r="F97"/>
      <c r="G97"/>
    </row>
    <row r="98" spans="2:7" s="2" customFormat="1" ht="14.5" hidden="1" customHeight="1" x14ac:dyDescent="0.2">
      <c r="B98"/>
      <c r="C98"/>
      <c r="D98"/>
      <c r="E98"/>
      <c r="F98"/>
      <c r="G98"/>
    </row>
    <row r="99" spans="2:7" s="2" customFormat="1" ht="14.5" hidden="1" customHeight="1" x14ac:dyDescent="0.2">
      <c r="B99"/>
      <c r="C99"/>
      <c r="D99"/>
      <c r="E99"/>
      <c r="F99"/>
      <c r="G99"/>
    </row>
    <row r="100" spans="2:7" s="2" customFormat="1" ht="14.5" hidden="1" customHeight="1" x14ac:dyDescent="0.2">
      <c r="B100"/>
      <c r="C100"/>
      <c r="D100"/>
      <c r="E100"/>
      <c r="F100"/>
      <c r="G100"/>
    </row>
    <row r="101" spans="2:7" s="2" customFormat="1" ht="14.5" hidden="1" customHeight="1" x14ac:dyDescent="0.2">
      <c r="B101"/>
      <c r="C101"/>
      <c r="D101"/>
      <c r="E101"/>
      <c r="F101"/>
      <c r="G101"/>
    </row>
    <row r="102" spans="2:7" s="2" customFormat="1" ht="14.5" hidden="1" customHeight="1" x14ac:dyDescent="0.2">
      <c r="B102"/>
      <c r="C102"/>
      <c r="D102"/>
      <c r="E102"/>
      <c r="F102"/>
      <c r="G102"/>
    </row>
    <row r="103" spans="2:7" s="2" customFormat="1" ht="14.5" hidden="1" customHeight="1" x14ac:dyDescent="0.2">
      <c r="B103"/>
      <c r="C103"/>
      <c r="D103"/>
      <c r="E103"/>
      <c r="F103"/>
      <c r="G103"/>
    </row>
    <row r="104" spans="2:7" s="2" customFormat="1" ht="14.5" hidden="1" customHeight="1" x14ac:dyDescent="0.2">
      <c r="B104"/>
      <c r="C104"/>
      <c r="D104"/>
      <c r="E104"/>
      <c r="F104"/>
      <c r="G104"/>
    </row>
    <row r="105" spans="2:7" s="2" customFormat="1" ht="14.5" hidden="1" customHeight="1" x14ac:dyDescent="0.2">
      <c r="B105"/>
      <c r="C105"/>
      <c r="D105"/>
      <c r="E105"/>
      <c r="F105"/>
      <c r="G105"/>
    </row>
    <row r="106" spans="2:7" s="2" customFormat="1" ht="14.5" hidden="1" customHeight="1" x14ac:dyDescent="0.2">
      <c r="B106"/>
      <c r="C106"/>
      <c r="D106"/>
      <c r="E106"/>
      <c r="F106"/>
      <c r="G106"/>
    </row>
    <row r="107" spans="2:7" s="2" customFormat="1" ht="14.5" hidden="1" customHeight="1" x14ac:dyDescent="0.2">
      <c r="B107"/>
      <c r="C107"/>
      <c r="D107"/>
      <c r="E107"/>
      <c r="F107"/>
      <c r="G107"/>
    </row>
    <row r="108" spans="2:7" s="2" customFormat="1" ht="14.5" hidden="1" customHeight="1" x14ac:dyDescent="0.2">
      <c r="B108"/>
      <c r="C108"/>
      <c r="D108"/>
      <c r="E108"/>
      <c r="F108"/>
      <c r="G108"/>
    </row>
    <row r="109" spans="2:7" s="2" customFormat="1" ht="20" hidden="1" customHeight="1" x14ac:dyDescent="0.2">
      <c r="B109"/>
      <c r="C109"/>
      <c r="D109"/>
      <c r="E109"/>
      <c r="F109"/>
      <c r="G109"/>
    </row>
  </sheetData>
  <sheetProtection algorithmName="SHA-512" hashValue="U/4a7g1bBkl0rbnTrFfaI/x+Yhr2nQIMt0wijYySInJorb0z8doZD94bXDuYKmCxLvQ8zkin8DITCs3tzt4GxQ==" saltValue="eGBGmcmXs73hNVve/2aKQw==" spinCount="100000" sheet="1" objects="1" scenarios="1"/>
  <mergeCells count="1">
    <mergeCell ref="B2:C2"/>
  </mergeCells>
  <conditionalFormatting sqref="C28">
    <cfRule type="containsText" dxfId="5" priority="7" operator="containsText" text="Error">
      <formula>NOT(ISERROR(SEARCH("Error",C28)))</formula>
    </cfRule>
  </conditionalFormatting>
  <conditionalFormatting sqref="C28">
    <cfRule type="containsText" dxfId="4" priority="6" operator="containsText" text="Please">
      <formula>NOT(ISERROR(SEARCH("Please",C28)))</formula>
    </cfRule>
  </conditionalFormatting>
  <conditionalFormatting sqref="C29">
    <cfRule type="containsText" dxfId="3" priority="4" operator="containsText" text="Error">
      <formula>NOT(ISERROR(SEARCH("Error",C29)))</formula>
    </cfRule>
  </conditionalFormatting>
  <conditionalFormatting sqref="C29">
    <cfRule type="containsText" dxfId="2" priority="3" operator="containsText" text="Please">
      <formula>NOT(ISERROR(SEARCH("Please",C29)))</formula>
    </cfRule>
  </conditionalFormatting>
  <conditionalFormatting sqref="C30">
    <cfRule type="containsText" dxfId="1" priority="2" operator="containsText" text="Error">
      <formula>NOT(ISERROR(SEARCH("Error",C30)))</formula>
    </cfRule>
  </conditionalFormatting>
  <conditionalFormatting sqref="C30">
    <cfRule type="containsText" dxfId="0" priority="1" operator="containsText" text="Please">
      <formula>NOT(ISERROR(SEARCH("Please",C30)))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614BE5-D3AF-4D87-9123-218AC3E66E14}">
          <x14:formula1>
            <xm:f>'v6 picksheet'!$C$2:$C$3</xm:f>
          </x14:formula1>
          <xm:sqref>C25:C26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078D-DC0C-4653-A174-5CA6F10BEB94}">
  <dimension ref="A1:XFC11"/>
  <sheetViews>
    <sheetView showGridLines="0" zoomScale="85" zoomScaleNormal="85" workbookViewId="0"/>
  </sheetViews>
  <sheetFormatPr baseColWidth="10" defaultColWidth="0" defaultRowHeight="15" zeroHeight="1" x14ac:dyDescent="0.2"/>
  <cols>
    <col min="1" max="1" width="2.1640625" customWidth="1"/>
    <col min="2" max="2" width="18.6640625" customWidth="1"/>
    <col min="3" max="3" width="0.83203125" customWidth="1"/>
    <col min="4" max="4" width="18.6640625" customWidth="1"/>
    <col min="5" max="5" width="0.83203125" customWidth="1"/>
    <col min="6" max="6" width="20.6640625" customWidth="1"/>
    <col min="7" max="7" width="18.6640625" customWidth="1"/>
    <col min="8" max="10" width="9.1640625" customWidth="1"/>
    <col min="11" max="11" width="5.5" customWidth="1"/>
    <col min="12" max="12" width="20.5" customWidth="1"/>
    <col min="16" max="16383" width="9.1640625" hidden="1"/>
    <col min="16384" max="16384" width="2.6640625" hidden="1" customWidth="1"/>
  </cols>
  <sheetData>
    <row r="1" spans="2:12" ht="11.25" customHeight="1" x14ac:dyDescent="0.2"/>
    <row r="2" spans="2:12" ht="60" customHeight="1" x14ac:dyDescent="0.2">
      <c r="B2" s="254" t="s">
        <v>0</v>
      </c>
      <c r="C2" s="254"/>
      <c r="D2" s="254"/>
      <c r="E2" s="254"/>
      <c r="F2" s="254"/>
      <c r="G2" s="254"/>
      <c r="H2" s="254"/>
      <c r="I2" s="254"/>
      <c r="J2" s="254"/>
      <c r="K2" s="254"/>
      <c r="L2" s="17"/>
    </row>
    <row r="3" spans="2:12" x14ac:dyDescent="0.2"/>
    <row r="4" spans="2:12" s="43" customFormat="1" ht="20" x14ac:dyDescent="0.25">
      <c r="B4" s="44" t="s">
        <v>131</v>
      </c>
      <c r="C4" s="45"/>
      <c r="D4" s="44" t="s">
        <v>132</v>
      </c>
      <c r="E4" s="45"/>
      <c r="F4" s="255" t="s">
        <v>133</v>
      </c>
      <c r="G4" s="255"/>
      <c r="H4" s="255"/>
      <c r="I4" s="255"/>
      <c r="J4" s="255"/>
      <c r="K4" s="255"/>
    </row>
    <row r="5" spans="2:12" ht="5" customHeight="1" x14ac:dyDescent="0.2"/>
    <row r="6" spans="2:12" x14ac:dyDescent="0.2">
      <c r="B6" s="46" t="s">
        <v>134</v>
      </c>
      <c r="D6" s="47">
        <v>43962</v>
      </c>
      <c r="F6" s="256" t="s">
        <v>135</v>
      </c>
      <c r="G6" s="257"/>
      <c r="H6" s="257"/>
      <c r="I6" s="257"/>
      <c r="J6" s="257"/>
      <c r="K6" s="258"/>
    </row>
    <row r="7" spans="2:12" x14ac:dyDescent="0.2"/>
    <row r="8" spans="2:12" ht="20" x14ac:dyDescent="0.2">
      <c r="B8" s="44" t="s">
        <v>136</v>
      </c>
      <c r="C8" s="45"/>
      <c r="D8" s="44" t="s">
        <v>132</v>
      </c>
      <c r="E8" s="45"/>
      <c r="F8" s="255" t="s">
        <v>133</v>
      </c>
      <c r="G8" s="255"/>
      <c r="H8" s="255"/>
      <c r="I8" s="255"/>
      <c r="J8" s="255"/>
      <c r="K8" s="255"/>
    </row>
    <row r="9" spans="2:12" ht="5" customHeight="1" x14ac:dyDescent="0.2"/>
    <row r="10" spans="2:12" x14ac:dyDescent="0.2">
      <c r="B10" s="46" t="s">
        <v>137</v>
      </c>
      <c r="D10" s="47" t="s">
        <v>137</v>
      </c>
      <c r="F10" s="251" t="s">
        <v>137</v>
      </c>
      <c r="G10" s="252"/>
      <c r="H10" s="252"/>
      <c r="I10" s="252"/>
      <c r="J10" s="252"/>
      <c r="K10" s="253"/>
    </row>
    <row r="11" spans="2:12" x14ac:dyDescent="0.2"/>
  </sheetData>
  <sheetProtection algorithmName="SHA-512" hashValue="NH82s0MmhDyOzbHuLDmECUxiK3DjoGTCSsUnIKyj9S4k9EqDyCmISO6OFw21+ZjmI40SicxKjTpEj/Em4RHAUw==" saltValue="HSaQv5JO63VLV+siD4+nbw==" spinCount="100000" sheet="1" objects="1" scenarios="1"/>
  <mergeCells count="5">
    <mergeCell ref="F10:K10"/>
    <mergeCell ref="B2:K2"/>
    <mergeCell ref="F4:K4"/>
    <mergeCell ref="F6:K6"/>
    <mergeCell ref="F8:K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0" tint="-0.499984740745262"/>
  </sheetPr>
  <dimension ref="B2:CD53"/>
  <sheetViews>
    <sheetView topLeftCell="BP31" zoomScale="80" zoomScaleNormal="80" workbookViewId="0">
      <selection activeCell="BP36" sqref="BP36"/>
    </sheetView>
  </sheetViews>
  <sheetFormatPr baseColWidth="10" defaultColWidth="8.83203125" defaultRowHeight="15" x14ac:dyDescent="0.2"/>
  <cols>
    <col min="2" max="2" width="25.5" customWidth="1"/>
    <col min="3" max="3" width="24.33203125" style="5" customWidth="1"/>
    <col min="4" max="4" width="15.6640625" customWidth="1"/>
    <col min="5" max="5" width="26" customWidth="1"/>
    <col min="6" max="6" width="17.5" customWidth="1"/>
    <col min="7" max="7" width="22.1640625" customWidth="1"/>
    <col min="8" max="8" width="47.6640625" customWidth="1"/>
    <col min="9" max="18" width="23.6640625" customWidth="1"/>
    <col min="19" max="19" width="11.83203125" customWidth="1"/>
    <col min="25" max="26" width="25.33203125" customWidth="1"/>
    <col min="27" max="27" width="23.1640625" customWidth="1"/>
    <col min="28" max="29" width="28.6640625" customWidth="1"/>
    <col min="30" max="30" width="33.5" customWidth="1"/>
    <col min="31" max="31" width="45" customWidth="1"/>
    <col min="32" max="32" width="11.5" bestFit="1" customWidth="1"/>
    <col min="38" max="38" width="8.83203125" customWidth="1"/>
    <col min="68" max="68" width="40.1640625" customWidth="1"/>
    <col min="69" max="69" width="44.5" customWidth="1"/>
  </cols>
  <sheetData>
    <row r="2" spans="2:7" ht="45.5" customHeight="1" x14ac:dyDescent="0.2">
      <c r="B2" s="24" t="s">
        <v>138</v>
      </c>
      <c r="C2" s="26" t="s">
        <v>139</v>
      </c>
      <c r="D2" s="27" t="s">
        <v>140</v>
      </c>
      <c r="E2" s="25" t="s">
        <v>141</v>
      </c>
      <c r="F2" s="25" t="s">
        <v>140</v>
      </c>
    </row>
    <row r="3" spans="2:7" x14ac:dyDescent="0.2">
      <c r="B3" s="48" t="str">
        <f>+'v6 picksheet'!A2</f>
        <v>mains supplied electricity</v>
      </c>
      <c r="C3" s="28">
        <f>SUMIF($I$34:$I$53,+B3,$AD$34:$AD$53)</f>
        <v>0</v>
      </c>
      <c r="D3" s="29">
        <f>+C3*'v6 picksheet'!D2</f>
        <v>0</v>
      </c>
      <c r="E3" s="30">
        <f t="shared" ref="E3:E13" si="0">SUMIF($I$34:$I$53,+B3,$Z$34:$Z$53)</f>
        <v>0</v>
      </c>
      <c r="F3" s="31">
        <f>+E3*'v6 picksheet'!D2</f>
        <v>0</v>
      </c>
      <c r="G3" t="e">
        <f>+F3/E3</f>
        <v>#DIV/0!</v>
      </c>
    </row>
    <row r="4" spans="2:7" x14ac:dyDescent="0.2">
      <c r="B4" s="48" t="str">
        <f>+'v6 picksheet'!A3</f>
        <v>Natural gas</v>
      </c>
      <c r="C4" s="28">
        <f t="shared" ref="C4:C13" si="1">SUMIF($I$34:$I$53,+B4,$AD$34:$AD$53)</f>
        <v>0</v>
      </c>
      <c r="D4" s="29">
        <f>+C4*'v6 picksheet'!D3</f>
        <v>0</v>
      </c>
      <c r="E4" s="30">
        <f t="shared" si="0"/>
        <v>0</v>
      </c>
      <c r="F4" s="31">
        <f>+E4*'v6 picksheet'!D3</f>
        <v>0</v>
      </c>
    </row>
    <row r="5" spans="2:7" x14ac:dyDescent="0.2">
      <c r="B5" s="48" t="str">
        <f>+'v6 picksheet'!A4</f>
        <v>Burning oil/kerosene</v>
      </c>
      <c r="C5" s="28">
        <f>SUMIF($I$34:$I$53,+B5,$AD$34:$AD$53)</f>
        <v>0</v>
      </c>
      <c r="D5" s="29">
        <f>+C5*'v6 picksheet'!D4</f>
        <v>0</v>
      </c>
      <c r="E5" s="30">
        <f t="shared" si="0"/>
        <v>0</v>
      </c>
      <c r="F5" s="31">
        <f>+E5*'v6 picksheet'!D4</f>
        <v>0</v>
      </c>
    </row>
    <row r="6" spans="2:7" x14ac:dyDescent="0.2">
      <c r="B6" s="48" t="str">
        <f>+'v6 picksheet'!A5</f>
        <v>Gas oil</v>
      </c>
      <c r="C6" s="28">
        <f t="shared" si="1"/>
        <v>0</v>
      </c>
      <c r="D6" s="29">
        <f>+C6*'v6 picksheet'!D5</f>
        <v>0</v>
      </c>
      <c r="E6" s="30">
        <f t="shared" si="0"/>
        <v>0</v>
      </c>
      <c r="F6" s="31">
        <f>+E6*'v6 picksheet'!D5</f>
        <v>0</v>
      </c>
    </row>
    <row r="7" spans="2:7" x14ac:dyDescent="0.2">
      <c r="B7" s="48" t="str">
        <f>+'v6 picksheet'!A6</f>
        <v>Fuel oil</v>
      </c>
      <c r="C7" s="28">
        <f t="shared" si="1"/>
        <v>0</v>
      </c>
      <c r="D7" s="29">
        <f>+C7*'v6 picksheet'!D6</f>
        <v>0</v>
      </c>
      <c r="E7" s="30">
        <f t="shared" si="0"/>
        <v>0</v>
      </c>
      <c r="F7" s="31">
        <f>+E7*'v6 picksheet'!D6</f>
        <v>0</v>
      </c>
    </row>
    <row r="8" spans="2:7" x14ac:dyDescent="0.2">
      <c r="B8" s="48" t="str">
        <f>+'v6 picksheet'!A7</f>
        <v>Diesel</v>
      </c>
      <c r="C8" s="28">
        <f t="shared" si="1"/>
        <v>0</v>
      </c>
      <c r="D8" s="29">
        <f>+C8*'v6 picksheet'!D7</f>
        <v>0</v>
      </c>
      <c r="E8" s="30">
        <f t="shared" si="0"/>
        <v>0</v>
      </c>
      <c r="F8" s="31">
        <f>+E8*'v6 picksheet'!D7</f>
        <v>0</v>
      </c>
    </row>
    <row r="9" spans="2:7" x14ac:dyDescent="0.2">
      <c r="B9" s="48" t="str">
        <f>+'v6 picksheet'!A8</f>
        <v>LPG</v>
      </c>
      <c r="C9" s="28">
        <f t="shared" si="1"/>
        <v>0</v>
      </c>
      <c r="D9" s="29">
        <f>+C9*'v6 picksheet'!D8</f>
        <v>0</v>
      </c>
      <c r="E9" s="30">
        <f t="shared" si="0"/>
        <v>0</v>
      </c>
      <c r="F9" s="31">
        <f>+E9*'v6 picksheet'!D8</f>
        <v>0</v>
      </c>
      <c r="G9" t="e">
        <f>+F9/E9</f>
        <v>#DIV/0!</v>
      </c>
    </row>
    <row r="10" spans="2:7" x14ac:dyDescent="0.2">
      <c r="B10" s="48" t="str">
        <f>+'v6 picksheet'!A9</f>
        <v>Other petroleum gas</v>
      </c>
      <c r="C10" s="28">
        <f t="shared" si="1"/>
        <v>0</v>
      </c>
      <c r="D10" s="29">
        <f>+C10*'v6 picksheet'!D9</f>
        <v>0</v>
      </c>
      <c r="E10" s="30">
        <f t="shared" si="0"/>
        <v>0</v>
      </c>
      <c r="F10" s="31">
        <f>+E10*'v6 picksheet'!D9</f>
        <v>0</v>
      </c>
    </row>
    <row r="11" spans="2:7" x14ac:dyDescent="0.2">
      <c r="B11" s="48" t="str">
        <f>+'v6 picksheet'!A10</f>
        <v>Coal</v>
      </c>
      <c r="C11" s="28">
        <f t="shared" si="1"/>
        <v>0</v>
      </c>
      <c r="D11" s="29">
        <f>+C11*'v6 picksheet'!D10</f>
        <v>0</v>
      </c>
      <c r="E11" s="30">
        <f t="shared" si="0"/>
        <v>0</v>
      </c>
      <c r="F11" s="31">
        <f>+E11*'v6 picksheet'!D10</f>
        <v>0</v>
      </c>
    </row>
    <row r="12" spans="2:7" x14ac:dyDescent="0.2">
      <c r="B12" s="48" t="str">
        <f>+'v6 picksheet'!A11</f>
        <v>Biodiesels</v>
      </c>
      <c r="C12" s="28">
        <f t="shared" si="1"/>
        <v>0</v>
      </c>
      <c r="D12" s="29">
        <f>+C12*'v6 picksheet'!D11</f>
        <v>0</v>
      </c>
      <c r="E12" s="30">
        <f t="shared" si="0"/>
        <v>0</v>
      </c>
      <c r="F12" s="31">
        <f>+E12*'v6 picksheet'!D11</f>
        <v>0</v>
      </c>
    </row>
    <row r="13" spans="2:7" x14ac:dyDescent="0.2">
      <c r="B13" s="48" t="str">
        <f>+'v6 picksheet'!A12</f>
        <v>Landfill gas</v>
      </c>
      <c r="C13" s="28">
        <f t="shared" si="1"/>
        <v>0</v>
      </c>
      <c r="D13" s="29">
        <f>+C13*'v6 picksheet'!D12</f>
        <v>0</v>
      </c>
      <c r="E13" s="30">
        <f t="shared" si="0"/>
        <v>0</v>
      </c>
      <c r="F13" s="31">
        <f>+E13*'v6 picksheet'!D12</f>
        <v>0</v>
      </c>
    </row>
    <row r="14" spans="2:7" x14ac:dyDescent="0.2">
      <c r="B14" s="48" t="str">
        <f>+'v6 picksheet'!A13</f>
        <v>Other biogas</v>
      </c>
      <c r="C14" s="28">
        <f t="shared" ref="C14:C19" si="2">SUMIF($I$34:$I$53,+B14,$AD$34:$AD$53)</f>
        <v>0</v>
      </c>
      <c r="D14" s="29">
        <f>+C14*'v6 picksheet'!D13</f>
        <v>0</v>
      </c>
      <c r="E14" s="30">
        <f t="shared" ref="E14:E19" si="3">SUMIF($I$34:$I$53,+B14,$Z$34:$Z$53)</f>
        <v>0</v>
      </c>
      <c r="F14" s="31">
        <f>+E14*'v6 picksheet'!D13</f>
        <v>0</v>
      </c>
    </row>
    <row r="15" spans="2:7" x14ac:dyDescent="0.2">
      <c r="B15" s="48" t="str">
        <f>+'v6 picksheet'!A14</f>
        <v>Wood</v>
      </c>
      <c r="C15" s="28">
        <f t="shared" si="2"/>
        <v>0</v>
      </c>
      <c r="D15" s="29">
        <f>+C15*'v6 picksheet'!D14</f>
        <v>0</v>
      </c>
      <c r="E15" s="30">
        <f t="shared" si="3"/>
        <v>0</v>
      </c>
      <c r="F15" s="31">
        <f>+E15*'v6 picksheet'!D14</f>
        <v>0</v>
      </c>
    </row>
    <row r="16" spans="2:7" x14ac:dyDescent="0.2">
      <c r="B16" s="48" t="str">
        <f>+'v6 picksheet'!A15</f>
        <v>Renewable heat source or renewable cooling source</v>
      </c>
      <c r="C16" s="28">
        <f t="shared" si="2"/>
        <v>0</v>
      </c>
      <c r="D16" s="29">
        <f>+C16*'v6 picksheet'!D15</f>
        <v>0</v>
      </c>
      <c r="E16" s="30">
        <f t="shared" si="3"/>
        <v>0</v>
      </c>
      <c r="F16" s="31">
        <f>+E16*'v6 picksheet'!D15</f>
        <v>0</v>
      </c>
    </row>
    <row r="17" spans="2:82" x14ac:dyDescent="0.2">
      <c r="B17" s="48" t="str">
        <f>+'v6 picksheet'!A16</f>
        <v>District heating</v>
      </c>
      <c r="C17" s="28">
        <f t="shared" si="2"/>
        <v>0</v>
      </c>
      <c r="D17" s="29">
        <f>+C17*'v6 picksheet'!D16</f>
        <v>0</v>
      </c>
      <c r="E17" s="30">
        <f t="shared" si="3"/>
        <v>0</v>
      </c>
      <c r="F17" s="31">
        <f>+E17*'v6 picksheet'!D16</f>
        <v>0</v>
      </c>
    </row>
    <row r="18" spans="2:82" x14ac:dyDescent="0.2">
      <c r="B18" s="48" t="str">
        <f>+'v6 picksheet'!A17</f>
        <v>District cooling</v>
      </c>
      <c r="C18" s="28">
        <f t="shared" si="2"/>
        <v>0</v>
      </c>
      <c r="D18" s="29">
        <f>+C18*'v6 picksheet'!D17</f>
        <v>0</v>
      </c>
      <c r="E18" s="30">
        <f t="shared" si="3"/>
        <v>0</v>
      </c>
      <c r="F18" s="31">
        <f>+E18*'v6 picksheet'!D17</f>
        <v>0</v>
      </c>
    </row>
    <row r="19" spans="2:82" x14ac:dyDescent="0.2">
      <c r="B19" s="48" t="str">
        <f>+'v6 picksheet'!A18</f>
        <v>renewable electricity generated onsite</v>
      </c>
      <c r="C19" s="28">
        <f t="shared" si="2"/>
        <v>0</v>
      </c>
      <c r="D19" s="29">
        <f>+C19*'v6 picksheet'!D18</f>
        <v>0</v>
      </c>
      <c r="E19" s="30">
        <f t="shared" si="3"/>
        <v>0</v>
      </c>
      <c r="F19" s="31">
        <f>+E19*'v6 picksheet'!D18</f>
        <v>0</v>
      </c>
    </row>
    <row r="20" spans="2:82" x14ac:dyDescent="0.2">
      <c r="C20"/>
    </row>
    <row r="21" spans="2:82" x14ac:dyDescent="0.2">
      <c r="C21"/>
    </row>
    <row r="22" spans="2:82" x14ac:dyDescent="0.2">
      <c r="C22"/>
    </row>
    <row r="23" spans="2:82" x14ac:dyDescent="0.2">
      <c r="C23"/>
    </row>
    <row r="24" spans="2:82" x14ac:dyDescent="0.2">
      <c r="C24"/>
    </row>
    <row r="25" spans="2:82" x14ac:dyDescent="0.2">
      <c r="C25"/>
    </row>
    <row r="26" spans="2:82" x14ac:dyDescent="0.2">
      <c r="C26"/>
    </row>
    <row r="27" spans="2:82" x14ac:dyDescent="0.2">
      <c r="E27" s="5"/>
    </row>
    <row r="28" spans="2:82" ht="44" customHeight="1" x14ac:dyDescent="0.2">
      <c r="C28" s="32" t="s">
        <v>142</v>
      </c>
      <c r="D28" s="33" t="s">
        <v>142</v>
      </c>
      <c r="E28" s="34" t="s">
        <v>142</v>
      </c>
      <c r="F28" s="34" t="s">
        <v>142</v>
      </c>
      <c r="G28" s="35" t="s">
        <v>143</v>
      </c>
      <c r="H28" s="36" t="s">
        <v>144</v>
      </c>
    </row>
    <row r="29" spans="2:82" x14ac:dyDescent="0.2">
      <c r="C29" s="28">
        <f>SUM(C3:C19)</f>
        <v>0</v>
      </c>
      <c r="D29" s="28">
        <f>SUM(D3:D19)</f>
        <v>0</v>
      </c>
      <c r="E29" s="28">
        <f>SUM(E3:E19)</f>
        <v>0</v>
      </c>
      <c r="F29" s="28">
        <f>SUM(F3:F23)</f>
        <v>0</v>
      </c>
      <c r="G29" s="136">
        <f>+F29-D29</f>
        <v>0</v>
      </c>
      <c r="H29" s="37" t="e">
        <f>ROUNDDOWN(1-(G29/F29),2)</f>
        <v>#DIV/0!</v>
      </c>
    </row>
    <row r="31" spans="2:82" x14ac:dyDescent="0.2">
      <c r="AL31">
        <f t="shared" ref="AL31:BA31" si="4">COUNTIF($AE:$AE,AL32)</f>
        <v>20</v>
      </c>
      <c r="AM31">
        <f t="shared" si="4"/>
        <v>0</v>
      </c>
      <c r="AN31">
        <f t="shared" si="4"/>
        <v>0</v>
      </c>
      <c r="AO31">
        <f t="shared" si="4"/>
        <v>0</v>
      </c>
      <c r="AP31">
        <f t="shared" si="4"/>
        <v>0</v>
      </c>
      <c r="AQ31">
        <f t="shared" si="4"/>
        <v>0</v>
      </c>
      <c r="AR31">
        <f t="shared" si="4"/>
        <v>0</v>
      </c>
      <c r="AS31">
        <f t="shared" si="4"/>
        <v>0</v>
      </c>
      <c r="AT31">
        <f t="shared" si="4"/>
        <v>0</v>
      </c>
      <c r="AU31">
        <f t="shared" si="4"/>
        <v>0</v>
      </c>
      <c r="AV31">
        <f t="shared" si="4"/>
        <v>0</v>
      </c>
      <c r="AW31">
        <f t="shared" si="4"/>
        <v>0</v>
      </c>
      <c r="AX31">
        <f t="shared" si="4"/>
        <v>0</v>
      </c>
      <c r="AY31">
        <f t="shared" si="4"/>
        <v>0</v>
      </c>
      <c r="AZ31">
        <f t="shared" si="4"/>
        <v>0</v>
      </c>
      <c r="BA31">
        <f t="shared" si="4"/>
        <v>0</v>
      </c>
    </row>
    <row r="32" spans="2:82" ht="17" x14ac:dyDescent="0.2">
      <c r="AL32" t="s">
        <v>145</v>
      </c>
      <c r="AM32" t="s">
        <v>146</v>
      </c>
      <c r="AN32" t="s">
        <v>147</v>
      </c>
      <c r="AO32" t="s">
        <v>148</v>
      </c>
      <c r="AP32" t="s">
        <v>149</v>
      </c>
      <c r="AQ32" t="s">
        <v>149</v>
      </c>
      <c r="AR32" t="s">
        <v>150</v>
      </c>
      <c r="AS32" t="s">
        <v>151</v>
      </c>
      <c r="AT32" t="s">
        <v>152</v>
      </c>
      <c r="AU32" t="s">
        <v>153</v>
      </c>
      <c r="AV32" t="s">
        <v>154</v>
      </c>
      <c r="AW32" t="s">
        <v>155</v>
      </c>
      <c r="AX32" t="s">
        <v>156</v>
      </c>
      <c r="AY32" t="s">
        <v>157</v>
      </c>
      <c r="AZ32" t="s">
        <v>158</v>
      </c>
      <c r="BA32" t="s">
        <v>159</v>
      </c>
      <c r="BP32" s="3" t="s">
        <v>44</v>
      </c>
      <c r="BQ32" s="18">
        <f>'Asset Information'!C7</f>
        <v>0</v>
      </c>
      <c r="BT32" t="s">
        <v>160</v>
      </c>
      <c r="BU32" t="s">
        <v>161</v>
      </c>
      <c r="BV32" t="s">
        <v>162</v>
      </c>
      <c r="BW32" t="s">
        <v>163</v>
      </c>
      <c r="BX32" t="s">
        <v>164</v>
      </c>
      <c r="BY32" t="s">
        <v>165</v>
      </c>
      <c r="BZ32" t="s">
        <v>166</v>
      </c>
      <c r="CA32" t="s">
        <v>167</v>
      </c>
      <c r="CB32" t="s">
        <v>168</v>
      </c>
      <c r="CC32" t="s">
        <v>169</v>
      </c>
      <c r="CD32" t="s">
        <v>170</v>
      </c>
    </row>
    <row r="33" spans="6:82" ht="51" x14ac:dyDescent="0.2">
      <c r="F33" s="3" t="s">
        <v>171</v>
      </c>
      <c r="G33" s="3" t="s">
        <v>79</v>
      </c>
      <c r="H33" s="3" t="s">
        <v>80</v>
      </c>
      <c r="I33" s="3" t="s">
        <v>81</v>
      </c>
      <c r="J33" s="14" t="s">
        <v>172</v>
      </c>
      <c r="K33" s="14" t="s">
        <v>173</v>
      </c>
      <c r="L33" s="14" t="s">
        <v>174</v>
      </c>
      <c r="M33" s="14" t="s">
        <v>172</v>
      </c>
      <c r="N33" s="14" t="s">
        <v>173</v>
      </c>
      <c r="O33" s="14" t="s">
        <v>175</v>
      </c>
      <c r="P33" s="14" t="s">
        <v>176</v>
      </c>
      <c r="Q33" s="14" t="s">
        <v>177</v>
      </c>
      <c r="R33" s="14" t="s">
        <v>178</v>
      </c>
      <c r="S33" s="6" t="s">
        <v>179</v>
      </c>
      <c r="T33" s="7" t="s">
        <v>180</v>
      </c>
      <c r="U33" s="7" t="s">
        <v>181</v>
      </c>
      <c r="V33" s="7" t="s">
        <v>182</v>
      </c>
      <c r="W33" s="7" t="s">
        <v>183</v>
      </c>
      <c r="X33" s="8" t="s">
        <v>117</v>
      </c>
      <c r="Y33" s="3" t="s">
        <v>184</v>
      </c>
      <c r="Z33" s="3" t="s">
        <v>185</v>
      </c>
      <c r="AA33" s="3" t="s">
        <v>86</v>
      </c>
      <c r="AB33" s="3" t="s">
        <v>87</v>
      </c>
      <c r="AC33" s="3" t="s">
        <v>88</v>
      </c>
      <c r="AD33" s="3" t="s">
        <v>186</v>
      </c>
      <c r="AE33" s="19" t="s">
        <v>187</v>
      </c>
      <c r="AL33" t="s">
        <v>188</v>
      </c>
      <c r="AM33" t="s">
        <v>189</v>
      </c>
      <c r="AN33" t="s">
        <v>190</v>
      </c>
      <c r="AO33" t="s">
        <v>191</v>
      </c>
      <c r="AP33" t="s">
        <v>192</v>
      </c>
      <c r="AQ33" t="s">
        <v>193</v>
      </c>
      <c r="AR33" t="s">
        <v>194</v>
      </c>
      <c r="AS33" t="s">
        <v>195</v>
      </c>
      <c r="AT33" t="s">
        <v>196</v>
      </c>
      <c r="AU33" t="s">
        <v>197</v>
      </c>
      <c r="AV33" t="s">
        <v>198</v>
      </c>
      <c r="AW33" t="s">
        <v>199</v>
      </c>
      <c r="AX33" t="s">
        <v>200</v>
      </c>
      <c r="AY33" t="s">
        <v>201</v>
      </c>
      <c r="AZ33" t="s">
        <v>202</v>
      </c>
      <c r="BA33" t="s">
        <v>203</v>
      </c>
      <c r="BP33" s="3" t="s">
        <v>204</v>
      </c>
      <c r="BQ33" s="18">
        <f>'Asset Information'!C8</f>
        <v>0</v>
      </c>
      <c r="BT33" t="s">
        <v>205</v>
      </c>
      <c r="BU33" t="s">
        <v>206</v>
      </c>
      <c r="BV33" t="s">
        <v>207</v>
      </c>
      <c r="BW33" t="s">
        <v>208</v>
      </c>
      <c r="BX33" t="s">
        <v>209</v>
      </c>
      <c r="BY33" t="s">
        <v>210</v>
      </c>
      <c r="BZ33" t="s">
        <v>211</v>
      </c>
      <c r="CA33" t="s">
        <v>212</v>
      </c>
      <c r="CB33" t="s">
        <v>213</v>
      </c>
      <c r="CC33" t="s">
        <v>214</v>
      </c>
      <c r="CD33" t="s">
        <v>215</v>
      </c>
    </row>
    <row r="34" spans="6:82" ht="17" x14ac:dyDescent="0.2">
      <c r="F34" s="4">
        <v>1</v>
      </c>
      <c r="G34" s="4">
        <f>'Consumption Data'!E9</f>
        <v>0</v>
      </c>
      <c r="H34" s="4">
        <f>'Consumption Data'!F9</f>
        <v>0</v>
      </c>
      <c r="I34" s="4">
        <f>'Consumption Data'!G9</f>
        <v>0</v>
      </c>
      <c r="J34" s="4">
        <f>'Consumption Data'!H9</f>
        <v>0</v>
      </c>
      <c r="K34" s="4">
        <f>'Consumption Data'!I9</f>
        <v>0</v>
      </c>
      <c r="L34" s="4">
        <f>K34-J34</f>
        <v>0</v>
      </c>
      <c r="M34" s="15">
        <f>'Consumption Data'!H9</f>
        <v>0</v>
      </c>
      <c r="N34" s="15">
        <f>'Consumption Data'!I9</f>
        <v>0</v>
      </c>
      <c r="O34" s="38">
        <f>IFERROR(DATEDIF(M34,N34,"y"),100)</f>
        <v>0</v>
      </c>
      <c r="P34" s="38">
        <f>IFERROR(IF(O34&gt;=1,DATEDIF(M34,N34,"ym"),DATEDIF(M34,N34,"m")),100)</f>
        <v>0</v>
      </c>
      <c r="Q34" s="38">
        <f>IFERROR(DATEDIF(M34,N34,"md"),100)</f>
        <v>0</v>
      </c>
      <c r="R34" s="38">
        <f>IF(O34&gt;1,0,IF(AND(O34=1,P34&gt;1),0,IF(AND(O34=1,P34=1,Q34&gt;0),0,IF(AND(O34=0,P34&lt;11),0,1))))</f>
        <v>0</v>
      </c>
      <c r="S34" s="4">
        <f>'Consumption Data'!J9</f>
        <v>0</v>
      </c>
      <c r="T34" s="4">
        <f>'Consumption Data'!K9</f>
        <v>0</v>
      </c>
      <c r="U34" s="4">
        <f>'Consumption Data'!L9</f>
        <v>0</v>
      </c>
      <c r="V34" s="4">
        <f>'Consumption Data'!M9</f>
        <v>0</v>
      </c>
      <c r="W34" s="4">
        <f>'Consumption Data'!N9</f>
        <v>0</v>
      </c>
      <c r="X34" s="4">
        <f>'Consumption Data'!O9</f>
        <v>0</v>
      </c>
      <c r="Y34" s="4">
        <f>'Consumption Data'!P9</f>
        <v>0</v>
      </c>
      <c r="Z34" s="16">
        <f>IFERROR(Y34/L34*365,0)</f>
        <v>0</v>
      </c>
      <c r="AA34" s="4">
        <f>'Consumption Data'!R9</f>
        <v>0</v>
      </c>
      <c r="AB34" s="4">
        <f>'Consumption Data'!S9</f>
        <v>0</v>
      </c>
      <c r="AC34" s="4" t="str">
        <f>'Consumption Data'!T9</f>
        <v>Yes</v>
      </c>
      <c r="AD34" s="4">
        <f>IF(COUNTIF(AL34:AZ34,"FALSE")&gt;0,0, IFERROR((AB34/AA34)*(365/L34)*Z34,0))</f>
        <v>0</v>
      </c>
      <c r="AE34" s="9" t="str">
        <f>IF(AL34=FALSE,$AL$32,IF(AM34=FALSE,$AM$32,IF(AN34=FALSE,$AN$32,IF(AO34=FALSE,$AO$32,IF(AP34=FALSE,$AP$32,IF(AQ34=FALSE,$AQ$32,IF(AR34=FALSE,$AR$32,IF(AS34=FALSE,$AS$32,IF(AT34=FALSE,$AT$32,IF(AU34=FALSE,$AU$32,IF(AV34=FALSE,$AV$32,IF(AW34=FALSE,$AW$32,IF(AX34=FALSE,$AX$32,IF(AY34=FALSE,$AY$32,IF(AZ34=FALSE,$AZ$32,IF(BA34=FALSE,$BA$32,"Error. Please contact BRE Global"))))))))))))))))</f>
        <v>Please enter a description for the meter</v>
      </c>
      <c r="AL34" t="b">
        <f>ISTEXT(H34)</f>
        <v>0</v>
      </c>
      <c r="AM34" t="b">
        <f>ISTEXT(I34)</f>
        <v>0</v>
      </c>
      <c r="AN34" t="b">
        <f>J34&gt;0</f>
        <v>0</v>
      </c>
      <c r="AO34" t="b">
        <f>K34&gt;0</f>
        <v>0</v>
      </c>
      <c r="AP34" t="b">
        <f>R34=1</f>
        <v>0</v>
      </c>
      <c r="AQ34" t="b">
        <f>R34=1</f>
        <v>0</v>
      </c>
      <c r="AR34" t="b">
        <f>COUNTIF(S34:X34, 0)=0</f>
        <v>0</v>
      </c>
      <c r="AS34" t="b">
        <f>Y34&gt;0</f>
        <v>0</v>
      </c>
      <c r="AT34" t="b">
        <f>IF(COUNTIF('Consumption Data'!J9:O9,"Yes")&lt;2,TRUE,IF(AC34=0,FALSE,TRUE))</f>
        <v>1</v>
      </c>
      <c r="AU34" t="b">
        <f t="shared" ref="AU34:AU53" si="5">OR((COUNTIF(F34:X34, "Yes"))&lt;2, AC34="Yes")</f>
        <v>1</v>
      </c>
      <c r="AV34" t="b">
        <f>AA34&gt;0</f>
        <v>0</v>
      </c>
      <c r="AW34" t="b">
        <f>OR(AA34='Asset Information'!$C$10, 'Data Validation'!AA34&lt;'Asset Information'!$C$10)</f>
        <v>1</v>
      </c>
      <c r="AX34" t="b">
        <f>AB34&gt;0</f>
        <v>0</v>
      </c>
      <c r="AY34" t="b">
        <f>OR(AB34=AA34,AB34&lt;AA34)</f>
        <v>1</v>
      </c>
      <c r="AZ34" t="b">
        <f>OR('Asset Information'!$C$9='Data Validation'!AB34, 'Data Validation'!AB34&lt;'Asset Information'!$C$9)</f>
        <v>1</v>
      </c>
      <c r="BA34" t="b">
        <f>COUNTIF(AL34:AZ34,"FALSE")&gt;0</f>
        <v>0</v>
      </c>
      <c r="BP34" s="3" t="s">
        <v>216</v>
      </c>
      <c r="BQ34" s="18" t="e">
        <f>'Asset Information'!#REF!</f>
        <v>#REF!</v>
      </c>
      <c r="BT34" t="b">
        <f>ISTEXT(BQ32)</f>
        <v>0</v>
      </c>
      <c r="BU34" t="b">
        <f>ISTEXT(BQ33)</f>
        <v>0</v>
      </c>
      <c r="BV34" t="b">
        <f>ISTEXT(BQ34)</f>
        <v>0</v>
      </c>
      <c r="BW34" t="b">
        <f>BQ35&gt;0</f>
        <v>0</v>
      </c>
      <c r="BX34" t="b">
        <f>AND(BQ36&gt;0, BQ36&gt;BQ35)</f>
        <v>0</v>
      </c>
      <c r="BY34" t="b">
        <f>ISTEXT(BQ37)</f>
        <v>0</v>
      </c>
      <c r="BZ34" t="b">
        <f>ISTEXT(BQ38)</f>
        <v>1</v>
      </c>
      <c r="CA34" t="b">
        <f>ISTEXT(BQ39)</f>
        <v>0</v>
      </c>
      <c r="CB34" t="b">
        <f>BQ40&gt;0</f>
        <v>0</v>
      </c>
      <c r="CC34" t="b">
        <f>BQ35=(BQ40+BQ42+BQ44+BQ46+BQ48)</f>
        <v>1</v>
      </c>
      <c r="CD34" t="b">
        <f>COUNTIF(BT34:CC34,"FALSE")&gt;0</f>
        <v>0</v>
      </c>
    </row>
    <row r="35" spans="6:82" ht="17" x14ac:dyDescent="0.2">
      <c r="F35" s="4">
        <v>2</v>
      </c>
      <c r="G35" s="4">
        <f>'Consumption Data'!E10</f>
        <v>0</v>
      </c>
      <c r="H35" s="4">
        <f>'Consumption Data'!F10</f>
        <v>0</v>
      </c>
      <c r="I35" s="4">
        <f>'Consumption Data'!G10</f>
        <v>0</v>
      </c>
      <c r="J35" s="4">
        <f>'Consumption Data'!H10</f>
        <v>0</v>
      </c>
      <c r="K35" s="4">
        <f>'Consumption Data'!I10</f>
        <v>0</v>
      </c>
      <c r="L35" s="4">
        <f t="shared" ref="L35:L53" si="6">K35-J35</f>
        <v>0</v>
      </c>
      <c r="M35" s="15">
        <f>'Consumption Data'!H10</f>
        <v>0</v>
      </c>
      <c r="N35" s="15">
        <f>'Consumption Data'!I10</f>
        <v>0</v>
      </c>
      <c r="O35" s="38">
        <f t="shared" ref="O35:O53" si="7">IFERROR(DATEDIF(M35,N35,"y"),100)</f>
        <v>0</v>
      </c>
      <c r="P35" s="38">
        <f t="shared" ref="P35:P53" si="8">IFERROR(IF(O35&gt;=1,DATEDIF(M35,N35,"ym"),DATEDIF(M35,N35,"m")),100)</f>
        <v>0</v>
      </c>
      <c r="Q35" s="38">
        <f t="shared" ref="Q35:Q53" si="9">IFERROR(DATEDIF(M35,N35,"md"),100)</f>
        <v>0</v>
      </c>
      <c r="R35" s="38">
        <f t="shared" ref="R35:R53" si="10">IF(O35&gt;1,0,IF(AND(O35=1,P35&gt;1),0,IF(AND(O35=1,P35=1,Q35&gt;0),0,IF(AND(O35=0,P35&lt;11),0,1))))</f>
        <v>0</v>
      </c>
      <c r="S35" s="4">
        <f>'Consumption Data'!J10</f>
        <v>0</v>
      </c>
      <c r="T35" s="4">
        <f>'Consumption Data'!K10</f>
        <v>0</v>
      </c>
      <c r="U35" s="4">
        <f>'Consumption Data'!L10</f>
        <v>0</v>
      </c>
      <c r="V35" s="4">
        <f>'Consumption Data'!M10</f>
        <v>0</v>
      </c>
      <c r="W35" s="4">
        <f>'Consumption Data'!N10</f>
        <v>0</v>
      </c>
      <c r="X35" s="4">
        <f>'Consumption Data'!O10</f>
        <v>0</v>
      </c>
      <c r="Y35" s="4">
        <f>'Consumption Data'!P10</f>
        <v>0</v>
      </c>
      <c r="Z35" s="16">
        <f t="shared" ref="Z35:Z53" si="11">IFERROR(Y35/L35*365,0)</f>
        <v>0</v>
      </c>
      <c r="AA35" s="4">
        <f>'Consumption Data'!R10</f>
        <v>0</v>
      </c>
      <c r="AB35" s="4">
        <f>'Consumption Data'!S10</f>
        <v>0</v>
      </c>
      <c r="AC35" s="4">
        <f>'Consumption Data'!T10</f>
        <v>0</v>
      </c>
      <c r="AD35" s="4">
        <f t="shared" ref="AD35:AD53" si="12">IF(COUNTIF(AL35:AZ35,"FALSE")&gt;0,0, IFERROR((AB35/AA35)*(365/L35)*Z35,0))</f>
        <v>0</v>
      </c>
      <c r="AE35" s="9" t="str">
        <f t="shared" ref="AE35:AE53" si="13">IF(AL35=FALSE,$AL$32,IF(AM35=FALSE,$AM$32,IF(AN35=FALSE,$AN$32,IF(AO35=FALSE,$AO$32,IF(AP35=FALSE,$AP$32,IF(AQ35=FALSE,$AQ$32,IF(AR35=FALSE,$AR$32,IF(AS35=FALSE,$AS$32,IF(AT35=FALSE,$AT$32,IF(AU35=FALSE,$AU$32,IF(AV35=FALSE,$AV$32,IF(AW35=FALSE,$AW$32,IF(AX35=FALSE,$AX$32,IF(AY35=FALSE,$AY$32,IF(AZ35=FALSE,$AZ$32,IF(BA35=FALSE,$BA$32,"Error. Please contact BRE Global"))))))))))))))))</f>
        <v>Please enter a description for the meter</v>
      </c>
      <c r="AL35" t="b">
        <f t="shared" ref="AL35:AL53" si="14">ISTEXT(H35)</f>
        <v>0</v>
      </c>
      <c r="AM35" t="b">
        <f t="shared" ref="AM35:AM53" si="15">ISTEXT(I35)</f>
        <v>0</v>
      </c>
      <c r="AN35" t="b">
        <f t="shared" ref="AN35:AN53" si="16">J35&gt;0</f>
        <v>0</v>
      </c>
      <c r="AO35" t="b">
        <f t="shared" ref="AO35:AO53" si="17">K35&gt;0</f>
        <v>0</v>
      </c>
      <c r="AP35" t="b">
        <f t="shared" ref="AP35:AP53" si="18">R35=1</f>
        <v>0</v>
      </c>
      <c r="AQ35" t="b">
        <f t="shared" ref="AQ35:AQ53" si="19">R35=1</f>
        <v>0</v>
      </c>
      <c r="AR35" t="b">
        <f t="shared" ref="AR35:AR53" si="20">COUNTIF(S35:X35, 0)=0</f>
        <v>0</v>
      </c>
      <c r="AS35" t="b">
        <f t="shared" ref="AS35:AS53" si="21">Y35&gt;0</f>
        <v>0</v>
      </c>
      <c r="AT35" t="b">
        <f>IF(COUNTIF('Consumption Data'!J10:O10,"Yes")&lt;2,TRUE,IF(AC35=0,FALSE,TRUE))</f>
        <v>1</v>
      </c>
      <c r="AU35" t="b">
        <f t="shared" si="5"/>
        <v>1</v>
      </c>
      <c r="AV35" t="b">
        <f t="shared" ref="AV35:AV53" si="22">AA35&gt;0</f>
        <v>0</v>
      </c>
      <c r="AW35" t="b">
        <f>OR(AA35='Asset Information'!$C$10, 'Data Validation'!AA35&lt;'Asset Information'!$C$10)</f>
        <v>1</v>
      </c>
      <c r="AX35" t="b">
        <f t="shared" ref="AX35:AX53" si="23">AB35&gt;0</f>
        <v>0</v>
      </c>
      <c r="AY35" t="b">
        <f t="shared" ref="AY35:AY53" si="24">OR(AB35=AA35,AB35&lt;AA35)</f>
        <v>1</v>
      </c>
      <c r="AZ35" t="b">
        <f>OR('Asset Information'!$C$9='Data Validation'!AB35, 'Data Validation'!AB35&lt;'Asset Information'!$C$9)</f>
        <v>1</v>
      </c>
      <c r="BA35" t="b">
        <f t="shared" ref="BA35:BA53" si="25">COUNTIF(AL35:AZ35,"FALSE")&gt;0</f>
        <v>0</v>
      </c>
      <c r="BP35" s="3" t="s">
        <v>46</v>
      </c>
      <c r="BQ35" s="18">
        <f>'Asset Information'!C9</f>
        <v>0</v>
      </c>
    </row>
    <row r="36" spans="6:82" ht="17" x14ac:dyDescent="0.2">
      <c r="F36" s="4">
        <v>3</v>
      </c>
      <c r="G36" s="4">
        <f>'Consumption Data'!E11</f>
        <v>0</v>
      </c>
      <c r="H36" s="4">
        <f>'Consumption Data'!F11</f>
        <v>0</v>
      </c>
      <c r="I36" s="4">
        <f>'Consumption Data'!G11</f>
        <v>0</v>
      </c>
      <c r="J36" s="4">
        <f>'Consumption Data'!H11</f>
        <v>0</v>
      </c>
      <c r="K36" s="4">
        <f>'Consumption Data'!I11</f>
        <v>0</v>
      </c>
      <c r="L36" s="4">
        <f t="shared" si="6"/>
        <v>0</v>
      </c>
      <c r="M36" s="15">
        <f>'Consumption Data'!H11</f>
        <v>0</v>
      </c>
      <c r="N36" s="15">
        <f>'Consumption Data'!I11</f>
        <v>0</v>
      </c>
      <c r="O36" s="38">
        <f t="shared" si="7"/>
        <v>0</v>
      </c>
      <c r="P36" s="38">
        <f t="shared" si="8"/>
        <v>0</v>
      </c>
      <c r="Q36" s="38">
        <f t="shared" si="9"/>
        <v>0</v>
      </c>
      <c r="R36" s="38">
        <f t="shared" si="10"/>
        <v>0</v>
      </c>
      <c r="S36" s="4">
        <f>'Consumption Data'!J11</f>
        <v>0</v>
      </c>
      <c r="T36" s="4">
        <f>'Consumption Data'!K11</f>
        <v>0</v>
      </c>
      <c r="U36" s="4">
        <f>'Consumption Data'!L11</f>
        <v>0</v>
      </c>
      <c r="V36" s="4">
        <f>'Consumption Data'!M11</f>
        <v>0</v>
      </c>
      <c r="W36" s="4">
        <f>'Consumption Data'!N11</f>
        <v>0</v>
      </c>
      <c r="X36" s="4">
        <f>'Consumption Data'!O11</f>
        <v>0</v>
      </c>
      <c r="Y36" s="4">
        <f>'Consumption Data'!P11</f>
        <v>0</v>
      </c>
      <c r="Z36" s="16">
        <f t="shared" si="11"/>
        <v>0</v>
      </c>
      <c r="AA36" s="4">
        <f>'Consumption Data'!R11</f>
        <v>0</v>
      </c>
      <c r="AB36" s="4">
        <f>'Consumption Data'!S11</f>
        <v>0</v>
      </c>
      <c r="AC36" s="4">
        <f>'Consumption Data'!T11</f>
        <v>0</v>
      </c>
      <c r="AD36" s="4">
        <f t="shared" si="12"/>
        <v>0</v>
      </c>
      <c r="AE36" s="9" t="str">
        <f t="shared" si="13"/>
        <v>Please enter a description for the meter</v>
      </c>
      <c r="AL36" t="b">
        <f t="shared" si="14"/>
        <v>0</v>
      </c>
      <c r="AM36" t="b">
        <f t="shared" si="15"/>
        <v>0</v>
      </c>
      <c r="AN36" t="b">
        <f t="shared" si="16"/>
        <v>0</v>
      </c>
      <c r="AO36" t="b">
        <f t="shared" si="17"/>
        <v>0</v>
      </c>
      <c r="AP36" t="b">
        <f t="shared" si="18"/>
        <v>0</v>
      </c>
      <c r="AQ36" t="b">
        <f t="shared" si="19"/>
        <v>0</v>
      </c>
      <c r="AR36" t="b">
        <f t="shared" si="20"/>
        <v>0</v>
      </c>
      <c r="AS36" t="b">
        <f t="shared" si="21"/>
        <v>0</v>
      </c>
      <c r="AT36" t="b">
        <f>IF(COUNTIF('Consumption Data'!J11:O11,"Yes")&lt;2,TRUE,IF(AC36=0,FALSE,TRUE))</f>
        <v>1</v>
      </c>
      <c r="AU36" t="b">
        <f t="shared" si="5"/>
        <v>1</v>
      </c>
      <c r="AV36" t="b">
        <f t="shared" si="22"/>
        <v>0</v>
      </c>
      <c r="AW36" t="b">
        <f>OR(AA36='Asset Information'!$C$10, 'Data Validation'!AA36&lt;'Asset Information'!$C$10)</f>
        <v>1</v>
      </c>
      <c r="AX36" t="b">
        <f t="shared" si="23"/>
        <v>0</v>
      </c>
      <c r="AY36" t="b">
        <f t="shared" si="24"/>
        <v>1</v>
      </c>
      <c r="AZ36" t="b">
        <f>OR('Asset Information'!$C$9='Data Validation'!AB36, 'Data Validation'!AB36&lt;'Asset Information'!$C$9)</f>
        <v>1</v>
      </c>
      <c r="BA36" t="b">
        <f t="shared" si="25"/>
        <v>0</v>
      </c>
      <c r="BP36" s="3" t="s">
        <v>217</v>
      </c>
      <c r="BQ36" s="18">
        <f>'Asset Information'!C10</f>
        <v>0</v>
      </c>
    </row>
    <row r="37" spans="6:82" ht="17" x14ac:dyDescent="0.2">
      <c r="F37" s="4">
        <v>4</v>
      </c>
      <c r="G37" s="4">
        <f>'Consumption Data'!E12</f>
        <v>0</v>
      </c>
      <c r="H37" s="4">
        <f>'Consumption Data'!F12</f>
        <v>0</v>
      </c>
      <c r="I37" s="4">
        <f>'Consumption Data'!G12</f>
        <v>0</v>
      </c>
      <c r="J37" s="4">
        <f>'Consumption Data'!H12</f>
        <v>0</v>
      </c>
      <c r="K37" s="4">
        <f>'Consumption Data'!I12</f>
        <v>0</v>
      </c>
      <c r="L37" s="4">
        <f t="shared" si="6"/>
        <v>0</v>
      </c>
      <c r="M37" s="15">
        <f>'Consumption Data'!H12</f>
        <v>0</v>
      </c>
      <c r="N37" s="15">
        <f>'Consumption Data'!I12</f>
        <v>0</v>
      </c>
      <c r="O37" s="38">
        <f t="shared" si="7"/>
        <v>0</v>
      </c>
      <c r="P37" s="38">
        <f t="shared" si="8"/>
        <v>0</v>
      </c>
      <c r="Q37" s="38">
        <f t="shared" si="9"/>
        <v>0</v>
      </c>
      <c r="R37" s="38">
        <f t="shared" si="10"/>
        <v>0</v>
      </c>
      <c r="S37" s="4">
        <f>'Consumption Data'!J12</f>
        <v>0</v>
      </c>
      <c r="T37" s="4">
        <f>'Consumption Data'!K12</f>
        <v>0</v>
      </c>
      <c r="U37" s="4">
        <f>'Consumption Data'!L12</f>
        <v>0</v>
      </c>
      <c r="V37" s="4">
        <f>'Consumption Data'!M12</f>
        <v>0</v>
      </c>
      <c r="W37" s="4">
        <f>'Consumption Data'!N12</f>
        <v>0</v>
      </c>
      <c r="X37" s="4">
        <f>'Consumption Data'!O12</f>
        <v>0</v>
      </c>
      <c r="Y37" s="4">
        <f>'Consumption Data'!P12</f>
        <v>0</v>
      </c>
      <c r="Z37" s="16">
        <f t="shared" si="11"/>
        <v>0</v>
      </c>
      <c r="AA37" s="4">
        <f>'Consumption Data'!R12</f>
        <v>0</v>
      </c>
      <c r="AB37" s="4">
        <f>'Consumption Data'!S12</f>
        <v>0</v>
      </c>
      <c r="AC37" s="4">
        <f>'Consumption Data'!T12</f>
        <v>0</v>
      </c>
      <c r="AD37" s="4">
        <f t="shared" si="12"/>
        <v>0</v>
      </c>
      <c r="AE37" s="9" t="str">
        <f t="shared" si="13"/>
        <v>Please enter a description for the meter</v>
      </c>
      <c r="AL37" t="b">
        <f t="shared" si="14"/>
        <v>0</v>
      </c>
      <c r="AM37" t="b">
        <f t="shared" si="15"/>
        <v>0</v>
      </c>
      <c r="AN37" t="b">
        <f t="shared" si="16"/>
        <v>0</v>
      </c>
      <c r="AO37" t="b">
        <f t="shared" si="17"/>
        <v>0</v>
      </c>
      <c r="AP37" t="b">
        <f t="shared" si="18"/>
        <v>0</v>
      </c>
      <c r="AQ37" t="b">
        <f t="shared" si="19"/>
        <v>0</v>
      </c>
      <c r="AR37" t="b">
        <f t="shared" si="20"/>
        <v>0</v>
      </c>
      <c r="AS37" t="b">
        <f t="shared" si="21"/>
        <v>0</v>
      </c>
      <c r="AT37" t="b">
        <f>IF(COUNTIF('Consumption Data'!J12:O12,"Yes")&lt;2,TRUE,IF(AC37=0,FALSE,TRUE))</f>
        <v>1</v>
      </c>
      <c r="AU37" t="b">
        <f t="shared" si="5"/>
        <v>1</v>
      </c>
      <c r="AV37" t="b">
        <f t="shared" si="22"/>
        <v>0</v>
      </c>
      <c r="AW37" t="b">
        <f>OR(AA37='Asset Information'!$C$10, 'Data Validation'!AA37&lt;'Asset Information'!$C$10)</f>
        <v>1</v>
      </c>
      <c r="AX37" t="b">
        <f t="shared" si="23"/>
        <v>0</v>
      </c>
      <c r="AY37" t="b">
        <f t="shared" si="24"/>
        <v>1</v>
      </c>
      <c r="AZ37" t="b">
        <f>OR('Asset Information'!$C$9='Data Validation'!AB37, 'Data Validation'!AB37&lt;'Asset Information'!$C$9)</f>
        <v>1</v>
      </c>
      <c r="BA37" t="b">
        <f t="shared" si="25"/>
        <v>0</v>
      </c>
      <c r="BP37" s="3" t="s">
        <v>48</v>
      </c>
      <c r="BQ37" s="18">
        <f>'Asset Information'!C11</f>
        <v>0</v>
      </c>
    </row>
    <row r="38" spans="6:82" ht="17" x14ac:dyDescent="0.2">
      <c r="F38" s="4">
        <v>5</v>
      </c>
      <c r="G38" s="4">
        <f>'Consumption Data'!E13</f>
        <v>0</v>
      </c>
      <c r="H38" s="4">
        <f>'Consumption Data'!F13</f>
        <v>0</v>
      </c>
      <c r="I38" s="4">
        <f>'Consumption Data'!G13</f>
        <v>0</v>
      </c>
      <c r="J38" s="4">
        <f>'Consumption Data'!H13</f>
        <v>0</v>
      </c>
      <c r="K38" s="4">
        <f>'Consumption Data'!I13</f>
        <v>0</v>
      </c>
      <c r="L38" s="4">
        <f t="shared" si="6"/>
        <v>0</v>
      </c>
      <c r="M38" s="15">
        <f>'Consumption Data'!H13</f>
        <v>0</v>
      </c>
      <c r="N38" s="15">
        <f>'Consumption Data'!I13</f>
        <v>0</v>
      </c>
      <c r="O38" s="38">
        <f t="shared" si="7"/>
        <v>0</v>
      </c>
      <c r="P38" s="38">
        <f t="shared" si="8"/>
        <v>0</v>
      </c>
      <c r="Q38" s="38">
        <f t="shared" si="9"/>
        <v>0</v>
      </c>
      <c r="R38" s="38">
        <f t="shared" si="10"/>
        <v>0</v>
      </c>
      <c r="S38" s="4">
        <f>'Consumption Data'!J13</f>
        <v>0</v>
      </c>
      <c r="T38" s="4">
        <f>'Consumption Data'!K13</f>
        <v>0</v>
      </c>
      <c r="U38" s="4">
        <f>'Consumption Data'!L13</f>
        <v>0</v>
      </c>
      <c r="V38" s="4">
        <f>'Consumption Data'!M13</f>
        <v>0</v>
      </c>
      <c r="W38" s="4">
        <f>'Consumption Data'!N13</f>
        <v>0</v>
      </c>
      <c r="X38" s="4">
        <f>'Consumption Data'!O13</f>
        <v>0</v>
      </c>
      <c r="Y38" s="4">
        <f>'Consumption Data'!P13</f>
        <v>0</v>
      </c>
      <c r="Z38" s="16">
        <f t="shared" si="11"/>
        <v>0</v>
      </c>
      <c r="AA38" s="4">
        <f>'Consumption Data'!R13</f>
        <v>0</v>
      </c>
      <c r="AB38" s="4">
        <f>'Consumption Data'!S13</f>
        <v>0</v>
      </c>
      <c r="AC38" s="4">
        <f>'Consumption Data'!T13</f>
        <v>0</v>
      </c>
      <c r="AD38" s="4">
        <f t="shared" si="12"/>
        <v>0</v>
      </c>
      <c r="AE38" s="9" t="str">
        <f t="shared" si="13"/>
        <v>Please enter a description for the meter</v>
      </c>
      <c r="AL38" t="b">
        <f t="shared" si="14"/>
        <v>0</v>
      </c>
      <c r="AM38" t="b">
        <f t="shared" si="15"/>
        <v>0</v>
      </c>
      <c r="AN38" t="b">
        <f t="shared" si="16"/>
        <v>0</v>
      </c>
      <c r="AO38" t="b">
        <f t="shared" si="17"/>
        <v>0</v>
      </c>
      <c r="AP38" t="b">
        <f t="shared" si="18"/>
        <v>0</v>
      </c>
      <c r="AQ38" t="b">
        <f t="shared" si="19"/>
        <v>0</v>
      </c>
      <c r="AR38" t="b">
        <f t="shared" si="20"/>
        <v>0</v>
      </c>
      <c r="AS38" t="b">
        <f t="shared" si="21"/>
        <v>0</v>
      </c>
      <c r="AT38" t="b">
        <f>IF(COUNTIF('Consumption Data'!J13:O13,"Yes")&lt;2,TRUE,IF(AC38=0,FALSE,TRUE))</f>
        <v>1</v>
      </c>
      <c r="AU38" t="b">
        <f t="shared" si="5"/>
        <v>1</v>
      </c>
      <c r="AV38" t="b">
        <f t="shared" si="22"/>
        <v>0</v>
      </c>
      <c r="AW38" t="b">
        <f>OR(AA38='Asset Information'!$C$10, 'Data Validation'!AA38&lt;'Asset Information'!$C$10)</f>
        <v>1</v>
      </c>
      <c r="AX38" t="b">
        <f t="shared" si="23"/>
        <v>0</v>
      </c>
      <c r="AY38" t="b">
        <f t="shared" si="24"/>
        <v>1</v>
      </c>
      <c r="AZ38" t="b">
        <f>OR('Asset Information'!$C$9='Data Validation'!AB38, 'Data Validation'!AB38&lt;'Asset Information'!$C$9)</f>
        <v>1</v>
      </c>
      <c r="BA38" t="b">
        <f t="shared" si="25"/>
        <v>0</v>
      </c>
      <c r="BP38" s="3" t="s">
        <v>50</v>
      </c>
      <c r="BQ38" s="172" t="str">
        <f>+'Asset Information'!C13</f>
        <v>Netherlands</v>
      </c>
    </row>
    <row r="39" spans="6:82" ht="17" x14ac:dyDescent="0.2">
      <c r="F39" s="4">
        <v>6</v>
      </c>
      <c r="G39" s="4">
        <f>'Consumption Data'!E14</f>
        <v>0</v>
      </c>
      <c r="H39" s="4">
        <f>'Consumption Data'!F14</f>
        <v>0</v>
      </c>
      <c r="I39" s="4">
        <f>'Consumption Data'!G14</f>
        <v>0</v>
      </c>
      <c r="J39" s="4">
        <f>'Consumption Data'!H14</f>
        <v>0</v>
      </c>
      <c r="K39" s="4">
        <f>'Consumption Data'!I14</f>
        <v>0</v>
      </c>
      <c r="L39" s="4">
        <f t="shared" si="6"/>
        <v>0</v>
      </c>
      <c r="M39" s="15">
        <f>'Consumption Data'!H14</f>
        <v>0</v>
      </c>
      <c r="N39" s="15">
        <f>'Consumption Data'!I14</f>
        <v>0</v>
      </c>
      <c r="O39" s="38">
        <f t="shared" si="7"/>
        <v>0</v>
      </c>
      <c r="P39" s="38">
        <f t="shared" si="8"/>
        <v>0</v>
      </c>
      <c r="Q39" s="38">
        <f t="shared" si="9"/>
        <v>0</v>
      </c>
      <c r="R39" s="38">
        <f t="shared" si="10"/>
        <v>0</v>
      </c>
      <c r="S39" s="4">
        <f>'Consumption Data'!J14</f>
        <v>0</v>
      </c>
      <c r="T39" s="4">
        <f>'Consumption Data'!K14</f>
        <v>0</v>
      </c>
      <c r="U39" s="4">
        <f>'Consumption Data'!L14</f>
        <v>0</v>
      </c>
      <c r="V39" s="4">
        <f>'Consumption Data'!M14</f>
        <v>0</v>
      </c>
      <c r="W39" s="4">
        <f>'Consumption Data'!N14</f>
        <v>0</v>
      </c>
      <c r="X39" s="4">
        <f>'Consumption Data'!O14</f>
        <v>0</v>
      </c>
      <c r="Y39" s="4">
        <f>'Consumption Data'!P14</f>
        <v>0</v>
      </c>
      <c r="Z39" s="16">
        <f t="shared" si="11"/>
        <v>0</v>
      </c>
      <c r="AA39" s="4">
        <f>'Consumption Data'!R14</f>
        <v>0</v>
      </c>
      <c r="AB39" s="4">
        <f>'Consumption Data'!S14</f>
        <v>0</v>
      </c>
      <c r="AC39" s="4">
        <f>'Consumption Data'!T14</f>
        <v>0</v>
      </c>
      <c r="AD39" s="4">
        <f t="shared" si="12"/>
        <v>0</v>
      </c>
      <c r="AE39" s="9" t="str">
        <f t="shared" si="13"/>
        <v>Please enter a description for the meter</v>
      </c>
      <c r="AL39" t="b">
        <f t="shared" si="14"/>
        <v>0</v>
      </c>
      <c r="AM39" t="b">
        <f t="shared" si="15"/>
        <v>0</v>
      </c>
      <c r="AN39" t="b">
        <f t="shared" si="16"/>
        <v>0</v>
      </c>
      <c r="AO39" t="b">
        <f t="shared" si="17"/>
        <v>0</v>
      </c>
      <c r="AP39" t="b">
        <f t="shared" si="18"/>
        <v>0</v>
      </c>
      <c r="AQ39" t="b">
        <f t="shared" si="19"/>
        <v>0</v>
      </c>
      <c r="AR39" t="b">
        <f t="shared" si="20"/>
        <v>0</v>
      </c>
      <c r="AS39" t="b">
        <f t="shared" si="21"/>
        <v>0</v>
      </c>
      <c r="AT39" t="b">
        <f>IF(COUNTIF('Consumption Data'!J14:O14,"Yes")&lt;2,TRUE,IF(AC39=0,FALSE,TRUE))</f>
        <v>1</v>
      </c>
      <c r="AU39" t="b">
        <f t="shared" si="5"/>
        <v>1</v>
      </c>
      <c r="AV39" t="b">
        <f t="shared" si="22"/>
        <v>0</v>
      </c>
      <c r="AW39" t="b">
        <f>OR(AA39='Asset Information'!$C$10, 'Data Validation'!AA39&lt;'Asset Information'!$C$10)</f>
        <v>1</v>
      </c>
      <c r="AX39" t="b">
        <f t="shared" si="23"/>
        <v>0</v>
      </c>
      <c r="AY39" t="b">
        <f t="shared" si="24"/>
        <v>1</v>
      </c>
      <c r="AZ39" t="b">
        <f>OR('Asset Information'!$C$9='Data Validation'!AB39, 'Data Validation'!AB39&lt;'Asset Information'!$C$9)</f>
        <v>1</v>
      </c>
      <c r="BA39" t="b">
        <f t="shared" si="25"/>
        <v>0</v>
      </c>
      <c r="BP39" s="3" t="s">
        <v>52</v>
      </c>
      <c r="BQ39" s="18">
        <f>'Asset Information'!C14</f>
        <v>0</v>
      </c>
    </row>
    <row r="40" spans="6:82" ht="17" x14ac:dyDescent="0.2">
      <c r="F40" s="4">
        <v>7</v>
      </c>
      <c r="G40" s="4">
        <f>'Consumption Data'!E15</f>
        <v>0</v>
      </c>
      <c r="H40" s="4">
        <f>'Consumption Data'!F15</f>
        <v>0</v>
      </c>
      <c r="I40" s="4">
        <f>'Consumption Data'!G15</f>
        <v>0</v>
      </c>
      <c r="J40" s="4">
        <f>'Consumption Data'!H15</f>
        <v>0</v>
      </c>
      <c r="K40" s="4">
        <f>'Consumption Data'!I15</f>
        <v>0</v>
      </c>
      <c r="L40" s="4">
        <f t="shared" si="6"/>
        <v>0</v>
      </c>
      <c r="M40" s="15">
        <f>'Consumption Data'!H15</f>
        <v>0</v>
      </c>
      <c r="N40" s="15">
        <f>'Consumption Data'!I15</f>
        <v>0</v>
      </c>
      <c r="O40" s="38">
        <f t="shared" si="7"/>
        <v>0</v>
      </c>
      <c r="P40" s="38">
        <f t="shared" si="8"/>
        <v>0</v>
      </c>
      <c r="Q40" s="38">
        <f t="shared" si="9"/>
        <v>0</v>
      </c>
      <c r="R40" s="38">
        <f t="shared" si="10"/>
        <v>0</v>
      </c>
      <c r="S40" s="4">
        <f>'Consumption Data'!J15</f>
        <v>0</v>
      </c>
      <c r="T40" s="4">
        <f>'Consumption Data'!K15</f>
        <v>0</v>
      </c>
      <c r="U40" s="4">
        <f>'Consumption Data'!L15</f>
        <v>0</v>
      </c>
      <c r="V40" s="4">
        <f>'Consumption Data'!M15</f>
        <v>0</v>
      </c>
      <c r="W40" s="4">
        <f>'Consumption Data'!N15</f>
        <v>0</v>
      </c>
      <c r="X40" s="4">
        <f>'Consumption Data'!O15</f>
        <v>0</v>
      </c>
      <c r="Y40" s="4">
        <f>'Consumption Data'!P15</f>
        <v>0</v>
      </c>
      <c r="Z40" s="16">
        <f t="shared" si="11"/>
        <v>0</v>
      </c>
      <c r="AA40" s="4">
        <f>'Consumption Data'!R15</f>
        <v>0</v>
      </c>
      <c r="AB40" s="4">
        <f>'Consumption Data'!S15</f>
        <v>0</v>
      </c>
      <c r="AC40" s="4">
        <f>'Consumption Data'!T15</f>
        <v>0</v>
      </c>
      <c r="AD40" s="4">
        <f t="shared" si="12"/>
        <v>0</v>
      </c>
      <c r="AE40" s="9" t="str">
        <f t="shared" si="13"/>
        <v>Please enter a description for the meter</v>
      </c>
      <c r="AL40" t="b">
        <f t="shared" si="14"/>
        <v>0</v>
      </c>
      <c r="AM40" t="b">
        <f t="shared" si="15"/>
        <v>0</v>
      </c>
      <c r="AN40" t="b">
        <f t="shared" si="16"/>
        <v>0</v>
      </c>
      <c r="AO40" t="b">
        <f t="shared" si="17"/>
        <v>0</v>
      </c>
      <c r="AP40" t="b">
        <f t="shared" si="18"/>
        <v>0</v>
      </c>
      <c r="AQ40" t="b">
        <f t="shared" si="19"/>
        <v>0</v>
      </c>
      <c r="AR40" t="b">
        <f t="shared" si="20"/>
        <v>0</v>
      </c>
      <c r="AS40" t="b">
        <f t="shared" si="21"/>
        <v>0</v>
      </c>
      <c r="AT40" t="b">
        <f>IF(COUNTIF('Consumption Data'!J15:O15,"Yes")&lt;2,TRUE,IF(AC40=0,FALSE,TRUE))</f>
        <v>1</v>
      </c>
      <c r="AU40" t="b">
        <f t="shared" si="5"/>
        <v>1</v>
      </c>
      <c r="AV40" t="b">
        <f t="shared" si="22"/>
        <v>0</v>
      </c>
      <c r="AW40" t="b">
        <f>OR(AA40='Asset Information'!$C$10, 'Data Validation'!AA40&lt;'Asset Information'!$C$10)</f>
        <v>1</v>
      </c>
      <c r="AX40" t="b">
        <f t="shared" si="23"/>
        <v>0</v>
      </c>
      <c r="AY40" t="b">
        <f t="shared" si="24"/>
        <v>1</v>
      </c>
      <c r="AZ40" t="b">
        <f>OR('Asset Information'!$C$9='Data Validation'!AB40, 'Data Validation'!AB40&lt;'Asset Information'!$C$9)</f>
        <v>1</v>
      </c>
      <c r="BA40" t="b">
        <f t="shared" si="25"/>
        <v>0</v>
      </c>
      <c r="BP40" s="3" t="s">
        <v>218</v>
      </c>
      <c r="BQ40" s="18">
        <f>'Asset Information'!C15</f>
        <v>0</v>
      </c>
    </row>
    <row r="41" spans="6:82" ht="17" x14ac:dyDescent="0.2">
      <c r="F41" s="4">
        <v>8</v>
      </c>
      <c r="G41" s="4">
        <f>'Consumption Data'!E16</f>
        <v>0</v>
      </c>
      <c r="H41" s="4">
        <f>'Consumption Data'!F16</f>
        <v>0</v>
      </c>
      <c r="I41" s="4">
        <f>'Consumption Data'!G16</f>
        <v>0</v>
      </c>
      <c r="J41" s="4">
        <f>'Consumption Data'!H16</f>
        <v>0</v>
      </c>
      <c r="K41" s="4">
        <f>'Consumption Data'!I16</f>
        <v>0</v>
      </c>
      <c r="L41" s="4">
        <f t="shared" si="6"/>
        <v>0</v>
      </c>
      <c r="M41" s="15">
        <f>'Consumption Data'!H16</f>
        <v>0</v>
      </c>
      <c r="N41" s="15">
        <f>'Consumption Data'!I16</f>
        <v>0</v>
      </c>
      <c r="O41" s="38">
        <f t="shared" si="7"/>
        <v>0</v>
      </c>
      <c r="P41" s="38">
        <f t="shared" si="8"/>
        <v>0</v>
      </c>
      <c r="Q41" s="38">
        <f t="shared" si="9"/>
        <v>0</v>
      </c>
      <c r="R41" s="38">
        <f t="shared" si="10"/>
        <v>0</v>
      </c>
      <c r="S41" s="4">
        <f>'Consumption Data'!J16</f>
        <v>0</v>
      </c>
      <c r="T41" s="4">
        <f>'Consumption Data'!K16</f>
        <v>0</v>
      </c>
      <c r="U41" s="4">
        <f>'Consumption Data'!L16</f>
        <v>0</v>
      </c>
      <c r="V41" s="4">
        <f>'Consumption Data'!M16</f>
        <v>0</v>
      </c>
      <c r="W41" s="4">
        <f>'Consumption Data'!N16</f>
        <v>0</v>
      </c>
      <c r="X41" s="4">
        <f>'Consumption Data'!O16</f>
        <v>0</v>
      </c>
      <c r="Y41" s="4">
        <f>'Consumption Data'!P16</f>
        <v>0</v>
      </c>
      <c r="Z41" s="16">
        <f t="shared" si="11"/>
        <v>0</v>
      </c>
      <c r="AA41" s="4">
        <f>'Consumption Data'!R16</f>
        <v>0</v>
      </c>
      <c r="AB41" s="4">
        <f>'Consumption Data'!S16</f>
        <v>0</v>
      </c>
      <c r="AC41" s="4">
        <f>'Consumption Data'!T16</f>
        <v>0</v>
      </c>
      <c r="AD41" s="4">
        <f t="shared" si="12"/>
        <v>0</v>
      </c>
      <c r="AE41" s="9" t="str">
        <f t="shared" si="13"/>
        <v>Please enter a description for the meter</v>
      </c>
      <c r="AL41" t="b">
        <f t="shared" si="14"/>
        <v>0</v>
      </c>
      <c r="AM41" t="b">
        <f t="shared" si="15"/>
        <v>0</v>
      </c>
      <c r="AN41" t="b">
        <f t="shared" si="16"/>
        <v>0</v>
      </c>
      <c r="AO41" t="b">
        <f t="shared" si="17"/>
        <v>0</v>
      </c>
      <c r="AP41" t="b">
        <f t="shared" si="18"/>
        <v>0</v>
      </c>
      <c r="AQ41" t="b">
        <f t="shared" si="19"/>
        <v>0</v>
      </c>
      <c r="AR41" t="b">
        <f t="shared" si="20"/>
        <v>0</v>
      </c>
      <c r="AS41" t="b">
        <f t="shared" si="21"/>
        <v>0</v>
      </c>
      <c r="AT41" t="b">
        <f>IF(COUNTIF('Consumption Data'!J16:O16,"Yes")&lt;2,TRUE,IF(AC41=0,FALSE,TRUE))</f>
        <v>1</v>
      </c>
      <c r="AU41" t="b">
        <f t="shared" si="5"/>
        <v>1</v>
      </c>
      <c r="AV41" t="b">
        <f t="shared" si="22"/>
        <v>0</v>
      </c>
      <c r="AW41" t="b">
        <f>OR(AA41='Asset Information'!$C$10, 'Data Validation'!AA41&lt;'Asset Information'!$C$10)</f>
        <v>1</v>
      </c>
      <c r="AX41" t="b">
        <f t="shared" si="23"/>
        <v>0</v>
      </c>
      <c r="AY41" t="b">
        <f t="shared" si="24"/>
        <v>1</v>
      </c>
      <c r="AZ41" t="b">
        <f>OR('Asset Information'!$C$9='Data Validation'!AB41, 'Data Validation'!AB41&lt;'Asset Information'!$C$9)</f>
        <v>1</v>
      </c>
      <c r="BA41" t="b">
        <f t="shared" si="25"/>
        <v>0</v>
      </c>
      <c r="BP41" s="3" t="s">
        <v>54</v>
      </c>
      <c r="BQ41" s="18">
        <f>'Asset Information'!C16</f>
        <v>0</v>
      </c>
    </row>
    <row r="42" spans="6:82" ht="17" x14ac:dyDescent="0.2">
      <c r="F42" s="4">
        <v>9</v>
      </c>
      <c r="G42" s="4">
        <f>'Consumption Data'!E17</f>
        <v>0</v>
      </c>
      <c r="H42" s="4">
        <f>'Consumption Data'!F17</f>
        <v>0</v>
      </c>
      <c r="I42" s="4">
        <f>'Consumption Data'!G17</f>
        <v>0</v>
      </c>
      <c r="J42" s="4">
        <f>'Consumption Data'!H17</f>
        <v>0</v>
      </c>
      <c r="K42" s="4">
        <f>'Consumption Data'!I17</f>
        <v>0</v>
      </c>
      <c r="L42" s="4">
        <f t="shared" si="6"/>
        <v>0</v>
      </c>
      <c r="M42" s="15">
        <f>'Consumption Data'!H17</f>
        <v>0</v>
      </c>
      <c r="N42" s="15">
        <f>'Consumption Data'!I17</f>
        <v>0</v>
      </c>
      <c r="O42" s="38">
        <f t="shared" si="7"/>
        <v>0</v>
      </c>
      <c r="P42" s="38">
        <f t="shared" si="8"/>
        <v>0</v>
      </c>
      <c r="Q42" s="38">
        <f t="shared" si="9"/>
        <v>0</v>
      </c>
      <c r="R42" s="38">
        <f t="shared" si="10"/>
        <v>0</v>
      </c>
      <c r="S42" s="4">
        <f>'Consumption Data'!J17</f>
        <v>0</v>
      </c>
      <c r="T42" s="4">
        <f>'Consumption Data'!K17</f>
        <v>0</v>
      </c>
      <c r="U42" s="4">
        <f>'Consumption Data'!L17</f>
        <v>0</v>
      </c>
      <c r="V42" s="4">
        <f>'Consumption Data'!M17</f>
        <v>0</v>
      </c>
      <c r="W42" s="4">
        <f>'Consumption Data'!N17</f>
        <v>0</v>
      </c>
      <c r="X42" s="4">
        <f>'Consumption Data'!O17</f>
        <v>0</v>
      </c>
      <c r="Y42" s="4">
        <f>'Consumption Data'!P17</f>
        <v>0</v>
      </c>
      <c r="Z42" s="16">
        <f t="shared" si="11"/>
        <v>0</v>
      </c>
      <c r="AA42" s="4">
        <f>'Consumption Data'!R17</f>
        <v>0</v>
      </c>
      <c r="AB42" s="4">
        <f>'Consumption Data'!S17</f>
        <v>0</v>
      </c>
      <c r="AC42" s="4">
        <f>'Consumption Data'!T17</f>
        <v>0</v>
      </c>
      <c r="AD42" s="4">
        <f t="shared" si="12"/>
        <v>0</v>
      </c>
      <c r="AE42" s="9" t="str">
        <f t="shared" si="13"/>
        <v>Please enter a description for the meter</v>
      </c>
      <c r="AL42" t="b">
        <f t="shared" si="14"/>
        <v>0</v>
      </c>
      <c r="AM42" t="b">
        <f t="shared" si="15"/>
        <v>0</v>
      </c>
      <c r="AN42" t="b">
        <f t="shared" si="16"/>
        <v>0</v>
      </c>
      <c r="AO42" t="b">
        <f t="shared" si="17"/>
        <v>0</v>
      </c>
      <c r="AP42" t="b">
        <f t="shared" si="18"/>
        <v>0</v>
      </c>
      <c r="AQ42" t="b">
        <f t="shared" si="19"/>
        <v>0</v>
      </c>
      <c r="AR42" t="b">
        <f t="shared" si="20"/>
        <v>0</v>
      </c>
      <c r="AS42" t="b">
        <f t="shared" si="21"/>
        <v>0</v>
      </c>
      <c r="AT42" t="b">
        <f>IF(COUNTIF('Consumption Data'!J17:O17,"Yes")&lt;2,TRUE,IF(AC42=0,FALSE,TRUE))</f>
        <v>1</v>
      </c>
      <c r="AU42" t="b">
        <f t="shared" si="5"/>
        <v>1</v>
      </c>
      <c r="AV42" t="b">
        <f t="shared" si="22"/>
        <v>0</v>
      </c>
      <c r="AW42" t="b">
        <f>OR(AA42='Asset Information'!$C$10, 'Data Validation'!AA42&lt;'Asset Information'!$C$10)</f>
        <v>1</v>
      </c>
      <c r="AX42" t="b">
        <f t="shared" si="23"/>
        <v>0</v>
      </c>
      <c r="AY42" t="b">
        <f t="shared" si="24"/>
        <v>1</v>
      </c>
      <c r="AZ42" t="b">
        <f>OR('Asset Information'!$C$9='Data Validation'!AB42, 'Data Validation'!AB42&lt;'Asset Information'!$C$9)</f>
        <v>1</v>
      </c>
      <c r="BA42" t="b">
        <f t="shared" si="25"/>
        <v>0</v>
      </c>
      <c r="BP42" s="3" t="s">
        <v>219</v>
      </c>
      <c r="BQ42" s="18">
        <f>'Asset Information'!C17</f>
        <v>0</v>
      </c>
    </row>
    <row r="43" spans="6:82" ht="17" x14ac:dyDescent="0.2">
      <c r="F43" s="4">
        <v>10</v>
      </c>
      <c r="G43" s="4">
        <f>'Consumption Data'!E18</f>
        <v>0</v>
      </c>
      <c r="H43" s="4">
        <f>'Consumption Data'!F18</f>
        <v>0</v>
      </c>
      <c r="I43" s="4">
        <f>'Consumption Data'!G18</f>
        <v>0</v>
      </c>
      <c r="J43" s="4">
        <f>'Consumption Data'!H18</f>
        <v>0</v>
      </c>
      <c r="K43" s="4">
        <f>'Consumption Data'!I18</f>
        <v>0</v>
      </c>
      <c r="L43" s="4">
        <f t="shared" si="6"/>
        <v>0</v>
      </c>
      <c r="M43" s="15">
        <f>'Consumption Data'!H18</f>
        <v>0</v>
      </c>
      <c r="N43" s="15">
        <f>'Consumption Data'!I18</f>
        <v>0</v>
      </c>
      <c r="O43" s="38">
        <f t="shared" si="7"/>
        <v>0</v>
      </c>
      <c r="P43" s="38">
        <f t="shared" si="8"/>
        <v>0</v>
      </c>
      <c r="Q43" s="38">
        <f t="shared" si="9"/>
        <v>0</v>
      </c>
      <c r="R43" s="38">
        <f t="shared" si="10"/>
        <v>0</v>
      </c>
      <c r="S43" s="4">
        <f>'Consumption Data'!J18</f>
        <v>0</v>
      </c>
      <c r="T43" s="4">
        <f>'Consumption Data'!K18</f>
        <v>0</v>
      </c>
      <c r="U43" s="4">
        <f>'Consumption Data'!L18</f>
        <v>0</v>
      </c>
      <c r="V43" s="4">
        <f>'Consumption Data'!M18</f>
        <v>0</v>
      </c>
      <c r="W43" s="4">
        <f>'Consumption Data'!N18</f>
        <v>0</v>
      </c>
      <c r="X43" s="4">
        <f>'Consumption Data'!O18</f>
        <v>0</v>
      </c>
      <c r="Y43" s="4">
        <f>'Consumption Data'!P18</f>
        <v>0</v>
      </c>
      <c r="Z43" s="16">
        <f t="shared" si="11"/>
        <v>0</v>
      </c>
      <c r="AA43" s="4">
        <f>'Consumption Data'!R18</f>
        <v>0</v>
      </c>
      <c r="AB43" s="4">
        <f>'Consumption Data'!S18</f>
        <v>0</v>
      </c>
      <c r="AC43" s="4">
        <f>'Consumption Data'!T18</f>
        <v>0</v>
      </c>
      <c r="AD43" s="4">
        <f t="shared" si="12"/>
        <v>0</v>
      </c>
      <c r="AE43" s="9" t="str">
        <f t="shared" si="13"/>
        <v>Please enter a description for the meter</v>
      </c>
      <c r="AL43" t="b">
        <f t="shared" si="14"/>
        <v>0</v>
      </c>
      <c r="AM43" t="b">
        <f t="shared" si="15"/>
        <v>0</v>
      </c>
      <c r="AN43" t="b">
        <f t="shared" si="16"/>
        <v>0</v>
      </c>
      <c r="AO43" t="b">
        <f t="shared" si="17"/>
        <v>0</v>
      </c>
      <c r="AP43" t="b">
        <f t="shared" si="18"/>
        <v>0</v>
      </c>
      <c r="AQ43" t="b">
        <f t="shared" si="19"/>
        <v>0</v>
      </c>
      <c r="AR43" t="b">
        <f t="shared" si="20"/>
        <v>0</v>
      </c>
      <c r="AS43" t="b">
        <f t="shared" si="21"/>
        <v>0</v>
      </c>
      <c r="AT43" t="b">
        <f>IF(COUNTIF('Consumption Data'!J18:O18,"Yes")&lt;2,TRUE,IF(AC43=0,FALSE,TRUE))</f>
        <v>1</v>
      </c>
      <c r="AU43" t="b">
        <f t="shared" si="5"/>
        <v>1</v>
      </c>
      <c r="AV43" t="b">
        <f t="shared" si="22"/>
        <v>0</v>
      </c>
      <c r="AW43" t="b">
        <f>OR(AA43='Asset Information'!$C$10, 'Data Validation'!AA43&lt;'Asset Information'!$C$10)</f>
        <v>1</v>
      </c>
      <c r="AX43" t="b">
        <f t="shared" si="23"/>
        <v>0</v>
      </c>
      <c r="AY43" t="b">
        <f t="shared" si="24"/>
        <v>1</v>
      </c>
      <c r="AZ43" t="b">
        <f>OR('Asset Information'!$C$9='Data Validation'!AB43, 'Data Validation'!AB43&lt;'Asset Information'!$C$9)</f>
        <v>1</v>
      </c>
      <c r="BA43" t="b">
        <f t="shared" si="25"/>
        <v>0</v>
      </c>
      <c r="BP43" s="3" t="s">
        <v>56</v>
      </c>
      <c r="BQ43" s="18">
        <f>'Asset Information'!C18</f>
        <v>0</v>
      </c>
    </row>
    <row r="44" spans="6:82" ht="17" x14ac:dyDescent="0.2">
      <c r="F44" s="4">
        <v>11</v>
      </c>
      <c r="G44" s="4">
        <f>'Consumption Data'!E19</f>
        <v>0</v>
      </c>
      <c r="H44" s="4">
        <f>'Consumption Data'!F19</f>
        <v>0</v>
      </c>
      <c r="I44" s="4">
        <f>'Consumption Data'!G19</f>
        <v>0</v>
      </c>
      <c r="J44" s="4">
        <f>'Consumption Data'!H19</f>
        <v>0</v>
      </c>
      <c r="K44" s="4">
        <f>'Consumption Data'!I19</f>
        <v>0</v>
      </c>
      <c r="L44" s="4">
        <f t="shared" si="6"/>
        <v>0</v>
      </c>
      <c r="M44" s="15">
        <f>'Consumption Data'!H19</f>
        <v>0</v>
      </c>
      <c r="N44" s="15">
        <f>'Consumption Data'!I19</f>
        <v>0</v>
      </c>
      <c r="O44" s="38">
        <f t="shared" si="7"/>
        <v>0</v>
      </c>
      <c r="P44" s="38">
        <f t="shared" si="8"/>
        <v>0</v>
      </c>
      <c r="Q44" s="38">
        <f t="shared" si="9"/>
        <v>0</v>
      </c>
      <c r="R44" s="38">
        <f t="shared" si="10"/>
        <v>0</v>
      </c>
      <c r="S44" s="4">
        <f>'Consumption Data'!J19</f>
        <v>0</v>
      </c>
      <c r="T44" s="4">
        <f>'Consumption Data'!K19</f>
        <v>0</v>
      </c>
      <c r="U44" s="4">
        <f>'Consumption Data'!L19</f>
        <v>0</v>
      </c>
      <c r="V44" s="4">
        <f>'Consumption Data'!M19</f>
        <v>0</v>
      </c>
      <c r="W44" s="4">
        <f>'Consumption Data'!N19</f>
        <v>0</v>
      </c>
      <c r="X44" s="4">
        <f>'Consumption Data'!O19</f>
        <v>0</v>
      </c>
      <c r="Y44" s="4">
        <f>'Consumption Data'!P19</f>
        <v>0</v>
      </c>
      <c r="Z44" s="16">
        <f t="shared" si="11"/>
        <v>0</v>
      </c>
      <c r="AA44" s="4">
        <f>'Consumption Data'!R19</f>
        <v>0</v>
      </c>
      <c r="AB44" s="4">
        <f>'Consumption Data'!S19</f>
        <v>0</v>
      </c>
      <c r="AC44" s="4">
        <f>'Consumption Data'!T19</f>
        <v>0</v>
      </c>
      <c r="AD44" s="4">
        <f t="shared" si="12"/>
        <v>0</v>
      </c>
      <c r="AE44" s="9" t="str">
        <f t="shared" si="13"/>
        <v>Please enter a description for the meter</v>
      </c>
      <c r="AL44" t="b">
        <f t="shared" si="14"/>
        <v>0</v>
      </c>
      <c r="AM44" t="b">
        <f t="shared" si="15"/>
        <v>0</v>
      </c>
      <c r="AN44" t="b">
        <f t="shared" si="16"/>
        <v>0</v>
      </c>
      <c r="AO44" t="b">
        <f t="shared" si="17"/>
        <v>0</v>
      </c>
      <c r="AP44" t="b">
        <f t="shared" si="18"/>
        <v>0</v>
      </c>
      <c r="AQ44" t="b">
        <f t="shared" si="19"/>
        <v>0</v>
      </c>
      <c r="AR44" t="b">
        <f t="shared" si="20"/>
        <v>0</v>
      </c>
      <c r="AS44" t="b">
        <f t="shared" si="21"/>
        <v>0</v>
      </c>
      <c r="AT44" t="b">
        <f>IF(COUNTIF('Consumption Data'!J19:O19,"Yes")&lt;2,TRUE,IF(AC44=0,FALSE,TRUE))</f>
        <v>1</v>
      </c>
      <c r="AU44" t="b">
        <f t="shared" si="5"/>
        <v>1</v>
      </c>
      <c r="AV44" t="b">
        <f t="shared" si="22"/>
        <v>0</v>
      </c>
      <c r="AW44" t="b">
        <f>OR(AA44='Asset Information'!$C$10, 'Data Validation'!AA44&lt;'Asset Information'!$C$10)</f>
        <v>1</v>
      </c>
      <c r="AX44" t="b">
        <f t="shared" si="23"/>
        <v>0</v>
      </c>
      <c r="AY44" t="b">
        <f t="shared" si="24"/>
        <v>1</v>
      </c>
      <c r="AZ44" t="b">
        <f>OR('Asset Information'!$C$9='Data Validation'!AB44, 'Data Validation'!AB44&lt;'Asset Information'!$C$9)</f>
        <v>1</v>
      </c>
      <c r="BA44" t="b">
        <f t="shared" si="25"/>
        <v>0</v>
      </c>
      <c r="BP44" s="3" t="s">
        <v>220</v>
      </c>
      <c r="BQ44" s="18">
        <f>'Asset Information'!C19</f>
        <v>0</v>
      </c>
    </row>
    <row r="45" spans="6:82" ht="17" x14ac:dyDescent="0.2">
      <c r="F45" s="4">
        <v>12</v>
      </c>
      <c r="G45" s="4">
        <f>'Consumption Data'!E20</f>
        <v>0</v>
      </c>
      <c r="H45" s="4">
        <f>'Consumption Data'!F20</f>
        <v>0</v>
      </c>
      <c r="I45" s="4">
        <f>'Consumption Data'!G20</f>
        <v>0</v>
      </c>
      <c r="J45" s="4">
        <f>'Consumption Data'!H20</f>
        <v>0</v>
      </c>
      <c r="K45" s="4">
        <f>'Consumption Data'!I20</f>
        <v>0</v>
      </c>
      <c r="L45" s="4">
        <f t="shared" si="6"/>
        <v>0</v>
      </c>
      <c r="M45" s="15">
        <f>'Consumption Data'!H20</f>
        <v>0</v>
      </c>
      <c r="N45" s="15">
        <f>'Consumption Data'!I20</f>
        <v>0</v>
      </c>
      <c r="O45" s="38">
        <f t="shared" si="7"/>
        <v>0</v>
      </c>
      <c r="P45" s="38">
        <f t="shared" si="8"/>
        <v>0</v>
      </c>
      <c r="Q45" s="38">
        <f t="shared" si="9"/>
        <v>0</v>
      </c>
      <c r="R45" s="38">
        <f t="shared" si="10"/>
        <v>0</v>
      </c>
      <c r="S45" s="4">
        <f>'Consumption Data'!J20</f>
        <v>0</v>
      </c>
      <c r="T45" s="4">
        <f>'Consumption Data'!K20</f>
        <v>0</v>
      </c>
      <c r="U45" s="4">
        <f>'Consumption Data'!L20</f>
        <v>0</v>
      </c>
      <c r="V45" s="4">
        <f>'Consumption Data'!M20</f>
        <v>0</v>
      </c>
      <c r="W45" s="4">
        <f>'Consumption Data'!N20</f>
        <v>0</v>
      </c>
      <c r="X45" s="4">
        <f>'Consumption Data'!O20</f>
        <v>0</v>
      </c>
      <c r="Y45" s="4">
        <f>'Consumption Data'!P20</f>
        <v>0</v>
      </c>
      <c r="Z45" s="16">
        <f t="shared" si="11"/>
        <v>0</v>
      </c>
      <c r="AA45" s="4">
        <f>'Consumption Data'!R20</f>
        <v>0</v>
      </c>
      <c r="AB45" s="4">
        <f>'Consumption Data'!S20</f>
        <v>0</v>
      </c>
      <c r="AC45" s="4">
        <f>'Consumption Data'!T20</f>
        <v>0</v>
      </c>
      <c r="AD45" s="4">
        <f t="shared" si="12"/>
        <v>0</v>
      </c>
      <c r="AE45" s="9" t="str">
        <f t="shared" si="13"/>
        <v>Please enter a description for the meter</v>
      </c>
      <c r="AL45" t="b">
        <f t="shared" si="14"/>
        <v>0</v>
      </c>
      <c r="AM45" t="b">
        <f t="shared" si="15"/>
        <v>0</v>
      </c>
      <c r="AN45" t="b">
        <f t="shared" si="16"/>
        <v>0</v>
      </c>
      <c r="AO45" t="b">
        <f t="shared" si="17"/>
        <v>0</v>
      </c>
      <c r="AP45" t="b">
        <f t="shared" si="18"/>
        <v>0</v>
      </c>
      <c r="AQ45" t="b">
        <f t="shared" si="19"/>
        <v>0</v>
      </c>
      <c r="AR45" t="b">
        <f t="shared" si="20"/>
        <v>0</v>
      </c>
      <c r="AS45" t="b">
        <f t="shared" si="21"/>
        <v>0</v>
      </c>
      <c r="AT45" t="b">
        <f>IF(COUNTIF('Consumption Data'!J20:O20,"Yes")&lt;2,TRUE,IF(AC45=0,FALSE,TRUE))</f>
        <v>1</v>
      </c>
      <c r="AU45" t="b">
        <f t="shared" si="5"/>
        <v>1</v>
      </c>
      <c r="AV45" t="b">
        <f t="shared" si="22"/>
        <v>0</v>
      </c>
      <c r="AW45" t="b">
        <f>OR(AA45='Asset Information'!$C$10, 'Data Validation'!AA45&lt;'Asset Information'!$C$10)</f>
        <v>1</v>
      </c>
      <c r="AX45" t="b">
        <f t="shared" si="23"/>
        <v>0</v>
      </c>
      <c r="AY45" t="b">
        <f t="shared" si="24"/>
        <v>1</v>
      </c>
      <c r="AZ45" t="b">
        <f>OR('Asset Information'!$C$9='Data Validation'!AB45, 'Data Validation'!AB45&lt;'Asset Information'!$C$9)</f>
        <v>1</v>
      </c>
      <c r="BA45" t="b">
        <f t="shared" si="25"/>
        <v>0</v>
      </c>
      <c r="BP45" s="3" t="s">
        <v>58</v>
      </c>
      <c r="BQ45" s="18">
        <f>'Asset Information'!C20</f>
        <v>0</v>
      </c>
    </row>
    <row r="46" spans="6:82" ht="17" x14ac:dyDescent="0.2">
      <c r="F46" s="4">
        <v>13</v>
      </c>
      <c r="G46" s="4">
        <f>'Consumption Data'!E21</f>
        <v>0</v>
      </c>
      <c r="H46" s="4">
        <f>'Consumption Data'!F21</f>
        <v>0</v>
      </c>
      <c r="I46" s="4">
        <f>'Consumption Data'!G21</f>
        <v>0</v>
      </c>
      <c r="J46" s="4">
        <f>'Consumption Data'!H21</f>
        <v>0</v>
      </c>
      <c r="K46" s="4">
        <f>'Consumption Data'!I21</f>
        <v>0</v>
      </c>
      <c r="L46" s="4">
        <f t="shared" si="6"/>
        <v>0</v>
      </c>
      <c r="M46" s="15">
        <f>'Consumption Data'!H21</f>
        <v>0</v>
      </c>
      <c r="N46" s="15">
        <f>'Consumption Data'!I21</f>
        <v>0</v>
      </c>
      <c r="O46" s="38">
        <f t="shared" si="7"/>
        <v>0</v>
      </c>
      <c r="P46" s="38">
        <f t="shared" si="8"/>
        <v>0</v>
      </c>
      <c r="Q46" s="38">
        <f t="shared" si="9"/>
        <v>0</v>
      </c>
      <c r="R46" s="38">
        <f t="shared" si="10"/>
        <v>0</v>
      </c>
      <c r="S46" s="4">
        <f>'Consumption Data'!J21</f>
        <v>0</v>
      </c>
      <c r="T46" s="4">
        <f>'Consumption Data'!K21</f>
        <v>0</v>
      </c>
      <c r="U46" s="4">
        <f>'Consumption Data'!L21</f>
        <v>0</v>
      </c>
      <c r="V46" s="4">
        <f>'Consumption Data'!M21</f>
        <v>0</v>
      </c>
      <c r="W46" s="4">
        <f>'Consumption Data'!N21</f>
        <v>0</v>
      </c>
      <c r="X46" s="4">
        <f>'Consumption Data'!O21</f>
        <v>0</v>
      </c>
      <c r="Y46" s="4">
        <f>'Consumption Data'!P21</f>
        <v>0</v>
      </c>
      <c r="Z46" s="16">
        <f t="shared" si="11"/>
        <v>0</v>
      </c>
      <c r="AA46" s="4">
        <f>'Consumption Data'!R21</f>
        <v>0</v>
      </c>
      <c r="AB46" s="4">
        <f>'Consumption Data'!S21</f>
        <v>0</v>
      </c>
      <c r="AC46" s="4">
        <f>'Consumption Data'!T21</f>
        <v>0</v>
      </c>
      <c r="AD46" s="4">
        <f t="shared" si="12"/>
        <v>0</v>
      </c>
      <c r="AE46" s="9" t="str">
        <f t="shared" si="13"/>
        <v>Please enter a description for the meter</v>
      </c>
      <c r="AL46" t="b">
        <f t="shared" si="14"/>
        <v>0</v>
      </c>
      <c r="AM46" t="b">
        <f t="shared" si="15"/>
        <v>0</v>
      </c>
      <c r="AN46" t="b">
        <f t="shared" si="16"/>
        <v>0</v>
      </c>
      <c r="AO46" t="b">
        <f t="shared" si="17"/>
        <v>0</v>
      </c>
      <c r="AP46" t="b">
        <f t="shared" si="18"/>
        <v>0</v>
      </c>
      <c r="AQ46" t="b">
        <f t="shared" si="19"/>
        <v>0</v>
      </c>
      <c r="AR46" t="b">
        <f t="shared" si="20"/>
        <v>0</v>
      </c>
      <c r="AS46" t="b">
        <f t="shared" si="21"/>
        <v>0</v>
      </c>
      <c r="AT46" t="b">
        <f>IF(COUNTIF('Consumption Data'!J21:O21,"Yes")&lt;2,TRUE,IF(AC46=0,FALSE,TRUE))</f>
        <v>1</v>
      </c>
      <c r="AU46" t="b">
        <f t="shared" si="5"/>
        <v>1</v>
      </c>
      <c r="AV46" t="b">
        <f t="shared" si="22"/>
        <v>0</v>
      </c>
      <c r="AW46" t="b">
        <f>OR(AA46='Asset Information'!$C$10, 'Data Validation'!AA46&lt;'Asset Information'!$C$10)</f>
        <v>1</v>
      </c>
      <c r="AX46" t="b">
        <f t="shared" si="23"/>
        <v>0</v>
      </c>
      <c r="AY46" t="b">
        <f t="shared" si="24"/>
        <v>1</v>
      </c>
      <c r="AZ46" t="b">
        <f>OR('Asset Information'!$C$9='Data Validation'!AB46, 'Data Validation'!AB46&lt;'Asset Information'!$C$9)</f>
        <v>1</v>
      </c>
      <c r="BA46" t="b">
        <f t="shared" si="25"/>
        <v>0</v>
      </c>
      <c r="BP46" s="3" t="s">
        <v>221</v>
      </c>
      <c r="BQ46" s="18">
        <f>'Asset Information'!C21</f>
        <v>0</v>
      </c>
    </row>
    <row r="47" spans="6:82" ht="17" x14ac:dyDescent="0.2">
      <c r="F47" s="4">
        <v>14</v>
      </c>
      <c r="G47" s="4">
        <f>'Consumption Data'!E22</f>
        <v>0</v>
      </c>
      <c r="H47" s="4">
        <f>'Consumption Data'!F22</f>
        <v>0</v>
      </c>
      <c r="I47" s="4">
        <f>'Consumption Data'!G22</f>
        <v>0</v>
      </c>
      <c r="J47" s="4">
        <f>'Consumption Data'!H22</f>
        <v>0</v>
      </c>
      <c r="K47" s="4">
        <f>'Consumption Data'!I22</f>
        <v>0</v>
      </c>
      <c r="L47" s="4">
        <f t="shared" si="6"/>
        <v>0</v>
      </c>
      <c r="M47" s="15">
        <f>'Consumption Data'!H22</f>
        <v>0</v>
      </c>
      <c r="N47" s="15">
        <f>'Consumption Data'!I22</f>
        <v>0</v>
      </c>
      <c r="O47" s="38">
        <f t="shared" si="7"/>
        <v>0</v>
      </c>
      <c r="P47" s="38">
        <f t="shared" si="8"/>
        <v>0</v>
      </c>
      <c r="Q47" s="38">
        <f t="shared" si="9"/>
        <v>0</v>
      </c>
      <c r="R47" s="38">
        <f t="shared" si="10"/>
        <v>0</v>
      </c>
      <c r="S47" s="4">
        <f>'Consumption Data'!J22</f>
        <v>0</v>
      </c>
      <c r="T47" s="4">
        <f>'Consumption Data'!K22</f>
        <v>0</v>
      </c>
      <c r="U47" s="4">
        <f>'Consumption Data'!L22</f>
        <v>0</v>
      </c>
      <c r="V47" s="4">
        <f>'Consumption Data'!M22</f>
        <v>0</v>
      </c>
      <c r="W47" s="4">
        <f>'Consumption Data'!N22</f>
        <v>0</v>
      </c>
      <c r="X47" s="4">
        <f>'Consumption Data'!O22</f>
        <v>0</v>
      </c>
      <c r="Y47" s="4">
        <f>'Consumption Data'!P22</f>
        <v>0</v>
      </c>
      <c r="Z47" s="16">
        <f t="shared" si="11"/>
        <v>0</v>
      </c>
      <c r="AA47" s="4">
        <f>'Consumption Data'!R22</f>
        <v>0</v>
      </c>
      <c r="AB47" s="4">
        <f>'Consumption Data'!S22</f>
        <v>0</v>
      </c>
      <c r="AC47" s="4">
        <f>'Consumption Data'!T22</f>
        <v>0</v>
      </c>
      <c r="AD47" s="4">
        <f t="shared" si="12"/>
        <v>0</v>
      </c>
      <c r="AE47" s="9" t="str">
        <f t="shared" si="13"/>
        <v>Please enter a description for the meter</v>
      </c>
      <c r="AL47" t="b">
        <f t="shared" si="14"/>
        <v>0</v>
      </c>
      <c r="AM47" t="b">
        <f t="shared" si="15"/>
        <v>0</v>
      </c>
      <c r="AN47" t="b">
        <f t="shared" si="16"/>
        <v>0</v>
      </c>
      <c r="AO47" t="b">
        <f t="shared" si="17"/>
        <v>0</v>
      </c>
      <c r="AP47" t="b">
        <f t="shared" si="18"/>
        <v>0</v>
      </c>
      <c r="AQ47" t="b">
        <f t="shared" si="19"/>
        <v>0</v>
      </c>
      <c r="AR47" t="b">
        <f t="shared" si="20"/>
        <v>0</v>
      </c>
      <c r="AS47" t="b">
        <f t="shared" si="21"/>
        <v>0</v>
      </c>
      <c r="AT47" t="b">
        <f>IF(COUNTIF('Consumption Data'!J22:O22,"Yes")&lt;2,TRUE,IF(AC47=0,FALSE,TRUE))</f>
        <v>1</v>
      </c>
      <c r="AU47" t="b">
        <f t="shared" si="5"/>
        <v>1</v>
      </c>
      <c r="AV47" t="b">
        <f t="shared" si="22"/>
        <v>0</v>
      </c>
      <c r="AW47" t="b">
        <f>OR(AA47='Asset Information'!$C$10, 'Data Validation'!AA47&lt;'Asset Information'!$C$10)</f>
        <v>1</v>
      </c>
      <c r="AX47" t="b">
        <f t="shared" si="23"/>
        <v>0</v>
      </c>
      <c r="AY47" t="b">
        <f t="shared" si="24"/>
        <v>1</v>
      </c>
      <c r="AZ47" t="b">
        <f>OR('Asset Information'!$C$9='Data Validation'!AB47, 'Data Validation'!AB47&lt;'Asset Information'!$C$9)</f>
        <v>1</v>
      </c>
      <c r="BA47" t="b">
        <f t="shared" si="25"/>
        <v>0</v>
      </c>
      <c r="BP47" s="3" t="s">
        <v>60</v>
      </c>
      <c r="BQ47" s="18">
        <f>'Asset Information'!C22</f>
        <v>0</v>
      </c>
    </row>
    <row r="48" spans="6:82" ht="17" x14ac:dyDescent="0.2">
      <c r="F48" s="4">
        <v>15</v>
      </c>
      <c r="G48" s="4">
        <f>'Consumption Data'!E23</f>
        <v>0</v>
      </c>
      <c r="H48" s="4">
        <f>'Consumption Data'!F23</f>
        <v>0</v>
      </c>
      <c r="I48" s="4">
        <f>'Consumption Data'!G23</f>
        <v>0</v>
      </c>
      <c r="J48" s="4">
        <f>'Consumption Data'!H23</f>
        <v>0</v>
      </c>
      <c r="K48" s="4">
        <f>'Consumption Data'!I23</f>
        <v>0</v>
      </c>
      <c r="L48" s="4">
        <f t="shared" si="6"/>
        <v>0</v>
      </c>
      <c r="M48" s="15">
        <f>'Consumption Data'!H23</f>
        <v>0</v>
      </c>
      <c r="N48" s="15">
        <f>'Consumption Data'!I23</f>
        <v>0</v>
      </c>
      <c r="O48" s="38">
        <f t="shared" si="7"/>
        <v>0</v>
      </c>
      <c r="P48" s="38">
        <f t="shared" si="8"/>
        <v>0</v>
      </c>
      <c r="Q48" s="38">
        <f t="shared" si="9"/>
        <v>0</v>
      </c>
      <c r="R48" s="38">
        <f t="shared" si="10"/>
        <v>0</v>
      </c>
      <c r="S48" s="4">
        <f>'Consumption Data'!J23</f>
        <v>0</v>
      </c>
      <c r="T48" s="4">
        <f>'Consumption Data'!K23</f>
        <v>0</v>
      </c>
      <c r="U48" s="4">
        <f>'Consumption Data'!L23</f>
        <v>0</v>
      </c>
      <c r="V48" s="4">
        <f>'Consumption Data'!M23</f>
        <v>0</v>
      </c>
      <c r="W48" s="4">
        <f>'Consumption Data'!N23</f>
        <v>0</v>
      </c>
      <c r="X48" s="4">
        <f>'Consumption Data'!O23</f>
        <v>0</v>
      </c>
      <c r="Y48" s="4">
        <f>'Consumption Data'!P23</f>
        <v>0</v>
      </c>
      <c r="Z48" s="16">
        <f t="shared" si="11"/>
        <v>0</v>
      </c>
      <c r="AA48" s="4">
        <f>'Consumption Data'!R23</f>
        <v>0</v>
      </c>
      <c r="AB48" s="4">
        <f>'Consumption Data'!S23</f>
        <v>0</v>
      </c>
      <c r="AC48" s="4">
        <f>'Consumption Data'!T23</f>
        <v>0</v>
      </c>
      <c r="AD48" s="4">
        <f t="shared" si="12"/>
        <v>0</v>
      </c>
      <c r="AE48" s="9" t="str">
        <f t="shared" si="13"/>
        <v>Please enter a description for the meter</v>
      </c>
      <c r="AL48" t="b">
        <f t="shared" si="14"/>
        <v>0</v>
      </c>
      <c r="AM48" t="b">
        <f t="shared" si="15"/>
        <v>0</v>
      </c>
      <c r="AN48" t="b">
        <f t="shared" si="16"/>
        <v>0</v>
      </c>
      <c r="AO48" t="b">
        <f t="shared" si="17"/>
        <v>0</v>
      </c>
      <c r="AP48" t="b">
        <f t="shared" si="18"/>
        <v>0</v>
      </c>
      <c r="AQ48" t="b">
        <f t="shared" si="19"/>
        <v>0</v>
      </c>
      <c r="AR48" t="b">
        <f t="shared" si="20"/>
        <v>0</v>
      </c>
      <c r="AS48" t="b">
        <f t="shared" si="21"/>
        <v>0</v>
      </c>
      <c r="AT48" t="b">
        <f>IF(COUNTIF('Consumption Data'!J23:O23,"Yes")&lt;2,TRUE,IF(AC48=0,FALSE,TRUE))</f>
        <v>1</v>
      </c>
      <c r="AU48" t="b">
        <f t="shared" si="5"/>
        <v>1</v>
      </c>
      <c r="AV48" t="b">
        <f t="shared" si="22"/>
        <v>0</v>
      </c>
      <c r="AW48" t="b">
        <f>OR(AA48='Asset Information'!$C$10, 'Data Validation'!AA48&lt;'Asset Information'!$C$10)</f>
        <v>1</v>
      </c>
      <c r="AX48" t="b">
        <f t="shared" si="23"/>
        <v>0</v>
      </c>
      <c r="AY48" t="b">
        <f t="shared" si="24"/>
        <v>1</v>
      </c>
      <c r="AZ48" t="b">
        <f>OR('Asset Information'!$C$9='Data Validation'!AB48, 'Data Validation'!AB48&lt;'Asset Information'!$C$9)</f>
        <v>1</v>
      </c>
      <c r="BA48" t="b">
        <f t="shared" si="25"/>
        <v>0</v>
      </c>
      <c r="BP48" s="19" t="s">
        <v>222</v>
      </c>
      <c r="BQ48" s="18">
        <f>'Asset Information'!C23</f>
        <v>0</v>
      </c>
    </row>
    <row r="49" spans="6:69" ht="17" x14ac:dyDescent="0.2">
      <c r="F49" s="4">
        <v>16</v>
      </c>
      <c r="G49" s="4">
        <f>'Consumption Data'!E24</f>
        <v>0</v>
      </c>
      <c r="H49" s="4">
        <f>'Consumption Data'!F24</f>
        <v>0</v>
      </c>
      <c r="I49" s="4">
        <f>'Consumption Data'!G24</f>
        <v>0</v>
      </c>
      <c r="J49" s="4">
        <f>'Consumption Data'!H24</f>
        <v>0</v>
      </c>
      <c r="K49" s="4">
        <f>'Consumption Data'!I24</f>
        <v>0</v>
      </c>
      <c r="L49" s="4">
        <f t="shared" si="6"/>
        <v>0</v>
      </c>
      <c r="M49" s="15">
        <f>'Consumption Data'!H24</f>
        <v>0</v>
      </c>
      <c r="N49" s="15">
        <f>'Consumption Data'!I24</f>
        <v>0</v>
      </c>
      <c r="O49" s="38">
        <f t="shared" si="7"/>
        <v>0</v>
      </c>
      <c r="P49" s="38">
        <f t="shared" si="8"/>
        <v>0</v>
      </c>
      <c r="Q49" s="38">
        <f t="shared" si="9"/>
        <v>0</v>
      </c>
      <c r="R49" s="38">
        <f t="shared" si="10"/>
        <v>0</v>
      </c>
      <c r="S49" s="4">
        <f>'Consumption Data'!J24</f>
        <v>0</v>
      </c>
      <c r="T49" s="4">
        <f>'Consumption Data'!K24</f>
        <v>0</v>
      </c>
      <c r="U49" s="4">
        <f>'Consumption Data'!L24</f>
        <v>0</v>
      </c>
      <c r="V49" s="4">
        <f>'Consumption Data'!M24</f>
        <v>0</v>
      </c>
      <c r="W49" s="4">
        <f>'Consumption Data'!N24</f>
        <v>0</v>
      </c>
      <c r="X49" s="4">
        <f>'Consumption Data'!O24</f>
        <v>0</v>
      </c>
      <c r="Y49" s="4">
        <f>'Consumption Data'!P24</f>
        <v>0</v>
      </c>
      <c r="Z49" s="16">
        <f t="shared" si="11"/>
        <v>0</v>
      </c>
      <c r="AA49" s="4">
        <f>'Consumption Data'!R24</f>
        <v>0</v>
      </c>
      <c r="AB49" s="4">
        <f>'Consumption Data'!S24</f>
        <v>0</v>
      </c>
      <c r="AC49" s="4">
        <f>'Consumption Data'!T24</f>
        <v>0</v>
      </c>
      <c r="AD49" s="4">
        <f t="shared" si="12"/>
        <v>0</v>
      </c>
      <c r="AE49" s="9" t="str">
        <f t="shared" si="13"/>
        <v>Please enter a description for the meter</v>
      </c>
      <c r="AL49" t="b">
        <f t="shared" si="14"/>
        <v>0</v>
      </c>
      <c r="AM49" t="b">
        <f t="shared" si="15"/>
        <v>0</v>
      </c>
      <c r="AN49" t="b">
        <f t="shared" si="16"/>
        <v>0</v>
      </c>
      <c r="AO49" t="b">
        <f t="shared" si="17"/>
        <v>0</v>
      </c>
      <c r="AP49" t="b">
        <f t="shared" si="18"/>
        <v>0</v>
      </c>
      <c r="AQ49" t="b">
        <f t="shared" si="19"/>
        <v>0</v>
      </c>
      <c r="AR49" t="b">
        <f t="shared" si="20"/>
        <v>0</v>
      </c>
      <c r="AS49" t="b">
        <f t="shared" si="21"/>
        <v>0</v>
      </c>
      <c r="AT49" t="b">
        <f>IF(COUNTIF('Consumption Data'!J24:O24,"Yes")&lt;2,TRUE,IF(AC49=0,FALSE,TRUE))</f>
        <v>1</v>
      </c>
      <c r="AU49" t="b">
        <f t="shared" si="5"/>
        <v>1</v>
      </c>
      <c r="AV49" t="b">
        <f t="shared" si="22"/>
        <v>0</v>
      </c>
      <c r="AW49" t="b">
        <f>OR(AA49='Asset Information'!$C$10, 'Data Validation'!AA49&lt;'Asset Information'!$C$10)</f>
        <v>1</v>
      </c>
      <c r="AX49" t="b">
        <f t="shared" si="23"/>
        <v>0</v>
      </c>
      <c r="AY49" t="b">
        <f t="shared" si="24"/>
        <v>1</v>
      </c>
      <c r="AZ49" t="b">
        <f>OR('Asset Information'!$C$9='Data Validation'!AB49, 'Data Validation'!AB49&lt;'Asset Information'!$C$9)</f>
        <v>1</v>
      </c>
      <c r="BA49" t="b">
        <f t="shared" si="25"/>
        <v>0</v>
      </c>
      <c r="BP49" s="19" t="s">
        <v>90</v>
      </c>
      <c r="BQ49" s="18" t="str">
        <f>IF(BT34=FALSE,BT32,IF(BU34=FALSE,BU32,IF(BV34=FALSE,BV32,IF(BW34=FALSE,BW32,IF(BX34=FALSE,BX32,IF(BY34=FALSE,BY32,IF(BZ34=FALSE,BZ32,IF(CA34=FALSE,CA32,IF(CB34=FALSE,CB32,IF(CC34=FALSE,CC32,IF(CD34=FALSE,CD32,"Error. Please contact BRE Global")))))))))))</f>
        <v>Please enter the 'Asset name' below</v>
      </c>
    </row>
    <row r="50" spans="6:69" ht="17" x14ac:dyDescent="0.2">
      <c r="F50" s="4">
        <v>17</v>
      </c>
      <c r="G50" s="4">
        <f>'Consumption Data'!E25</f>
        <v>0</v>
      </c>
      <c r="H50" s="4">
        <f>'Consumption Data'!F25</f>
        <v>0</v>
      </c>
      <c r="I50" s="4">
        <f>'Consumption Data'!G25</f>
        <v>0</v>
      </c>
      <c r="J50" s="4">
        <f>'Consumption Data'!H25</f>
        <v>0</v>
      </c>
      <c r="K50" s="4">
        <f>'Consumption Data'!I25</f>
        <v>0</v>
      </c>
      <c r="L50" s="4">
        <f t="shared" si="6"/>
        <v>0</v>
      </c>
      <c r="M50" s="15">
        <f>'Consumption Data'!H25</f>
        <v>0</v>
      </c>
      <c r="N50" s="15">
        <f>'Consumption Data'!I25</f>
        <v>0</v>
      </c>
      <c r="O50" s="38">
        <f t="shared" si="7"/>
        <v>0</v>
      </c>
      <c r="P50" s="38">
        <f t="shared" si="8"/>
        <v>0</v>
      </c>
      <c r="Q50" s="38">
        <f t="shared" si="9"/>
        <v>0</v>
      </c>
      <c r="R50" s="38">
        <f t="shared" si="10"/>
        <v>0</v>
      </c>
      <c r="S50" s="4">
        <f>'Consumption Data'!J25</f>
        <v>0</v>
      </c>
      <c r="T50" s="4">
        <f>'Consumption Data'!K25</f>
        <v>0</v>
      </c>
      <c r="U50" s="4">
        <f>'Consumption Data'!L25</f>
        <v>0</v>
      </c>
      <c r="V50" s="4">
        <f>'Consumption Data'!M25</f>
        <v>0</v>
      </c>
      <c r="W50" s="4">
        <f>'Consumption Data'!N25</f>
        <v>0</v>
      </c>
      <c r="X50" s="4">
        <f>'Consumption Data'!O25</f>
        <v>0</v>
      </c>
      <c r="Y50" s="4">
        <f>'Consumption Data'!P25</f>
        <v>0</v>
      </c>
      <c r="Z50" s="16">
        <f t="shared" si="11"/>
        <v>0</v>
      </c>
      <c r="AA50" s="4">
        <f>'Consumption Data'!R25</f>
        <v>0</v>
      </c>
      <c r="AB50" s="4">
        <f>'Consumption Data'!S25</f>
        <v>0</v>
      </c>
      <c r="AC50" s="4">
        <f>'Consumption Data'!T25</f>
        <v>0</v>
      </c>
      <c r="AD50" s="4">
        <f t="shared" si="12"/>
        <v>0</v>
      </c>
      <c r="AE50" s="9" t="str">
        <f t="shared" si="13"/>
        <v>Please enter a description for the meter</v>
      </c>
      <c r="AL50" t="b">
        <f t="shared" si="14"/>
        <v>0</v>
      </c>
      <c r="AM50" t="b">
        <f t="shared" si="15"/>
        <v>0</v>
      </c>
      <c r="AN50" t="b">
        <f t="shared" si="16"/>
        <v>0</v>
      </c>
      <c r="AO50" t="b">
        <f t="shared" si="17"/>
        <v>0</v>
      </c>
      <c r="AP50" t="b">
        <f t="shared" si="18"/>
        <v>0</v>
      </c>
      <c r="AQ50" t="b">
        <f t="shared" si="19"/>
        <v>0</v>
      </c>
      <c r="AR50" t="b">
        <f t="shared" si="20"/>
        <v>0</v>
      </c>
      <c r="AS50" t="b">
        <f t="shared" si="21"/>
        <v>0</v>
      </c>
      <c r="AT50" t="b">
        <f>IF(COUNTIF('Consumption Data'!J25:O25,"Yes")&lt;2,TRUE,IF(AC50=0,FALSE,TRUE))</f>
        <v>1</v>
      </c>
      <c r="AU50" t="b">
        <f t="shared" si="5"/>
        <v>1</v>
      </c>
      <c r="AV50" t="b">
        <f t="shared" si="22"/>
        <v>0</v>
      </c>
      <c r="AW50" t="b">
        <f>OR(AA50='Asset Information'!$C$10, 'Data Validation'!AA50&lt;'Asset Information'!$C$10)</f>
        <v>1</v>
      </c>
      <c r="AX50" t="b">
        <f t="shared" si="23"/>
        <v>0</v>
      </c>
      <c r="AY50" t="b">
        <f t="shared" si="24"/>
        <v>1</v>
      </c>
      <c r="AZ50" t="b">
        <f>OR('Asset Information'!$C$9='Data Validation'!AB50, 'Data Validation'!AB50&lt;'Asset Information'!$C$9)</f>
        <v>1</v>
      </c>
      <c r="BA50" t="b">
        <f t="shared" si="25"/>
        <v>0</v>
      </c>
      <c r="BP50" s="19" t="s">
        <v>223</v>
      </c>
      <c r="BQ50" s="18" t="b">
        <f>BQ49=CD32</f>
        <v>0</v>
      </c>
    </row>
    <row r="51" spans="6:69" ht="16" x14ac:dyDescent="0.2">
      <c r="F51" s="4">
        <v>18</v>
      </c>
      <c r="G51" s="4">
        <f>'Consumption Data'!E26</f>
        <v>0</v>
      </c>
      <c r="H51" s="4">
        <f>'Consumption Data'!F26</f>
        <v>0</v>
      </c>
      <c r="I51" s="4">
        <f>'Consumption Data'!G26</f>
        <v>0</v>
      </c>
      <c r="J51" s="4">
        <f>'Consumption Data'!H26</f>
        <v>0</v>
      </c>
      <c r="K51" s="4">
        <f>'Consumption Data'!I26</f>
        <v>0</v>
      </c>
      <c r="L51" s="4">
        <f t="shared" si="6"/>
        <v>0</v>
      </c>
      <c r="M51" s="15">
        <f>'Consumption Data'!H26</f>
        <v>0</v>
      </c>
      <c r="N51" s="15">
        <f>'Consumption Data'!I26</f>
        <v>0</v>
      </c>
      <c r="O51" s="38">
        <f t="shared" si="7"/>
        <v>0</v>
      </c>
      <c r="P51" s="38">
        <f t="shared" si="8"/>
        <v>0</v>
      </c>
      <c r="Q51" s="38">
        <f t="shared" si="9"/>
        <v>0</v>
      </c>
      <c r="R51" s="38">
        <f t="shared" si="10"/>
        <v>0</v>
      </c>
      <c r="S51" s="4">
        <f>'Consumption Data'!J26</f>
        <v>0</v>
      </c>
      <c r="T51" s="4">
        <f>'Consumption Data'!K26</f>
        <v>0</v>
      </c>
      <c r="U51" s="4">
        <f>'Consumption Data'!L26</f>
        <v>0</v>
      </c>
      <c r="V51" s="4">
        <f>'Consumption Data'!M26</f>
        <v>0</v>
      </c>
      <c r="W51" s="4">
        <f>'Consumption Data'!N26</f>
        <v>0</v>
      </c>
      <c r="X51" s="4">
        <f>'Consumption Data'!O26</f>
        <v>0</v>
      </c>
      <c r="Y51" s="4">
        <f>'Consumption Data'!P26</f>
        <v>0</v>
      </c>
      <c r="Z51" s="16">
        <f t="shared" si="11"/>
        <v>0</v>
      </c>
      <c r="AA51" s="4">
        <f>'Consumption Data'!R26</f>
        <v>0</v>
      </c>
      <c r="AB51" s="4">
        <f>'Consumption Data'!S26</f>
        <v>0</v>
      </c>
      <c r="AC51" s="4">
        <f>'Consumption Data'!T26</f>
        <v>0</v>
      </c>
      <c r="AD51" s="4">
        <f t="shared" si="12"/>
        <v>0</v>
      </c>
      <c r="AE51" s="9" t="str">
        <f t="shared" si="13"/>
        <v>Please enter a description for the meter</v>
      </c>
      <c r="AL51" t="b">
        <f t="shared" si="14"/>
        <v>0</v>
      </c>
      <c r="AM51" t="b">
        <f t="shared" si="15"/>
        <v>0</v>
      </c>
      <c r="AN51" t="b">
        <f t="shared" si="16"/>
        <v>0</v>
      </c>
      <c r="AO51" t="b">
        <f t="shared" si="17"/>
        <v>0</v>
      </c>
      <c r="AP51" t="b">
        <f t="shared" si="18"/>
        <v>0</v>
      </c>
      <c r="AQ51" t="b">
        <f t="shared" si="19"/>
        <v>0</v>
      </c>
      <c r="AR51" t="b">
        <f t="shared" si="20"/>
        <v>0</v>
      </c>
      <c r="AS51" t="b">
        <f t="shared" si="21"/>
        <v>0</v>
      </c>
      <c r="AT51" t="b">
        <f>IF(COUNTIF('Consumption Data'!J26:O26,"Yes")&lt;2,TRUE,IF(AC51=0,FALSE,TRUE))</f>
        <v>1</v>
      </c>
      <c r="AU51" t="b">
        <f t="shared" si="5"/>
        <v>1</v>
      </c>
      <c r="AV51" t="b">
        <f t="shared" si="22"/>
        <v>0</v>
      </c>
      <c r="AW51" t="b">
        <f>OR(AA51='Asset Information'!$C$10, 'Data Validation'!AA51&lt;'Asset Information'!$C$10)</f>
        <v>1</v>
      </c>
      <c r="AX51" t="b">
        <f t="shared" si="23"/>
        <v>0</v>
      </c>
      <c r="AY51" t="b">
        <f t="shared" si="24"/>
        <v>1</v>
      </c>
      <c r="AZ51" t="b">
        <f>OR('Asset Information'!$C$9='Data Validation'!AB51, 'Data Validation'!AB51&lt;'Asset Information'!$C$9)</f>
        <v>1</v>
      </c>
      <c r="BA51" t="b">
        <f t="shared" si="25"/>
        <v>0</v>
      </c>
    </row>
    <row r="52" spans="6:69" ht="16" x14ac:dyDescent="0.2">
      <c r="F52" s="4">
        <v>19</v>
      </c>
      <c r="G52" s="4">
        <f>'Consumption Data'!E27</f>
        <v>0</v>
      </c>
      <c r="H52" s="4">
        <f>'Consumption Data'!F27</f>
        <v>0</v>
      </c>
      <c r="I52" s="4">
        <f>'Consumption Data'!G27</f>
        <v>0</v>
      </c>
      <c r="J52" s="4">
        <f>'Consumption Data'!H27</f>
        <v>0</v>
      </c>
      <c r="K52" s="4">
        <f>'Consumption Data'!I27</f>
        <v>0</v>
      </c>
      <c r="L52" s="4">
        <f t="shared" si="6"/>
        <v>0</v>
      </c>
      <c r="M52" s="15">
        <f>'Consumption Data'!H27</f>
        <v>0</v>
      </c>
      <c r="N52" s="15">
        <f>'Consumption Data'!I27</f>
        <v>0</v>
      </c>
      <c r="O52" s="38">
        <f t="shared" si="7"/>
        <v>0</v>
      </c>
      <c r="P52" s="38">
        <f t="shared" si="8"/>
        <v>0</v>
      </c>
      <c r="Q52" s="38">
        <f t="shared" si="9"/>
        <v>0</v>
      </c>
      <c r="R52" s="38">
        <f t="shared" si="10"/>
        <v>0</v>
      </c>
      <c r="S52" s="4">
        <f>'Consumption Data'!J27</f>
        <v>0</v>
      </c>
      <c r="T52" s="4">
        <f>'Consumption Data'!K27</f>
        <v>0</v>
      </c>
      <c r="U52" s="4">
        <f>'Consumption Data'!L27</f>
        <v>0</v>
      </c>
      <c r="V52" s="4">
        <f>'Consumption Data'!M27</f>
        <v>0</v>
      </c>
      <c r="W52" s="4">
        <f>'Consumption Data'!N27</f>
        <v>0</v>
      </c>
      <c r="X52" s="4">
        <f>'Consumption Data'!O27</f>
        <v>0</v>
      </c>
      <c r="Y52" s="4">
        <f>'Consumption Data'!P27</f>
        <v>0</v>
      </c>
      <c r="Z52" s="16">
        <f t="shared" si="11"/>
        <v>0</v>
      </c>
      <c r="AA52" s="4">
        <f>'Consumption Data'!R27</f>
        <v>0</v>
      </c>
      <c r="AB52" s="4">
        <f>'Consumption Data'!S27</f>
        <v>0</v>
      </c>
      <c r="AC52" s="4">
        <f>'Consumption Data'!T27</f>
        <v>0</v>
      </c>
      <c r="AD52" s="4">
        <f t="shared" si="12"/>
        <v>0</v>
      </c>
      <c r="AE52" s="9" t="str">
        <f t="shared" si="13"/>
        <v>Please enter a description for the meter</v>
      </c>
      <c r="AL52" t="b">
        <f t="shared" si="14"/>
        <v>0</v>
      </c>
      <c r="AM52" t="b">
        <f t="shared" si="15"/>
        <v>0</v>
      </c>
      <c r="AN52" t="b">
        <f t="shared" si="16"/>
        <v>0</v>
      </c>
      <c r="AO52" t="b">
        <f t="shared" si="17"/>
        <v>0</v>
      </c>
      <c r="AP52" t="b">
        <f t="shared" si="18"/>
        <v>0</v>
      </c>
      <c r="AQ52" t="b">
        <f t="shared" si="19"/>
        <v>0</v>
      </c>
      <c r="AR52" t="b">
        <f t="shared" si="20"/>
        <v>0</v>
      </c>
      <c r="AS52" t="b">
        <f t="shared" si="21"/>
        <v>0</v>
      </c>
      <c r="AT52" t="b">
        <f>IF(COUNTIF('Consumption Data'!J27:O27,"Yes")&lt;2,TRUE,IF(AC52=0,FALSE,TRUE))</f>
        <v>1</v>
      </c>
      <c r="AU52" t="b">
        <f t="shared" si="5"/>
        <v>1</v>
      </c>
      <c r="AV52" t="b">
        <f t="shared" si="22"/>
        <v>0</v>
      </c>
      <c r="AW52" t="b">
        <f>OR(AA52='Asset Information'!$C$10, 'Data Validation'!AA52&lt;'Asset Information'!$C$10)</f>
        <v>1</v>
      </c>
      <c r="AX52" t="b">
        <f t="shared" si="23"/>
        <v>0</v>
      </c>
      <c r="AY52" t="b">
        <f t="shared" si="24"/>
        <v>1</v>
      </c>
      <c r="AZ52" t="b">
        <f>OR('Asset Information'!$C$9='Data Validation'!AB52, 'Data Validation'!AB52&lt;'Asset Information'!$C$9)</f>
        <v>1</v>
      </c>
      <c r="BA52" t="b">
        <f t="shared" si="25"/>
        <v>0</v>
      </c>
    </row>
    <row r="53" spans="6:69" ht="16" x14ac:dyDescent="0.2">
      <c r="F53" s="4">
        <v>20</v>
      </c>
      <c r="G53" s="4">
        <f>'Consumption Data'!E28</f>
        <v>0</v>
      </c>
      <c r="H53" s="4">
        <f>'Consumption Data'!F28</f>
        <v>0</v>
      </c>
      <c r="I53" s="4">
        <f>'Consumption Data'!G28</f>
        <v>0</v>
      </c>
      <c r="J53" s="4">
        <f>'Consumption Data'!H28</f>
        <v>0</v>
      </c>
      <c r="K53" s="4">
        <f>'Consumption Data'!I28</f>
        <v>0</v>
      </c>
      <c r="L53" s="4">
        <f t="shared" si="6"/>
        <v>0</v>
      </c>
      <c r="M53" s="15">
        <f>'Consumption Data'!H28</f>
        <v>0</v>
      </c>
      <c r="N53" s="15">
        <f>'Consumption Data'!I28</f>
        <v>0</v>
      </c>
      <c r="O53" s="38">
        <f t="shared" si="7"/>
        <v>0</v>
      </c>
      <c r="P53" s="38">
        <f t="shared" si="8"/>
        <v>0</v>
      </c>
      <c r="Q53" s="38">
        <f t="shared" si="9"/>
        <v>0</v>
      </c>
      <c r="R53" s="38">
        <f t="shared" si="10"/>
        <v>0</v>
      </c>
      <c r="S53" s="4">
        <f>'Consumption Data'!J28</f>
        <v>0</v>
      </c>
      <c r="T53" s="4">
        <f>'Consumption Data'!K28</f>
        <v>0</v>
      </c>
      <c r="U53" s="4">
        <f>'Consumption Data'!L28</f>
        <v>0</v>
      </c>
      <c r="V53" s="4">
        <f>'Consumption Data'!M28</f>
        <v>0</v>
      </c>
      <c r="W53" s="4">
        <f>'Consumption Data'!N28</f>
        <v>0</v>
      </c>
      <c r="X53" s="4">
        <f>'Consumption Data'!O28</f>
        <v>0</v>
      </c>
      <c r="Y53" s="4">
        <f>'Consumption Data'!P28</f>
        <v>0</v>
      </c>
      <c r="Z53" s="16">
        <f t="shared" si="11"/>
        <v>0</v>
      </c>
      <c r="AA53" s="4">
        <f>'Consumption Data'!R28</f>
        <v>0</v>
      </c>
      <c r="AB53" s="4">
        <f>'Consumption Data'!S28</f>
        <v>0</v>
      </c>
      <c r="AC53" s="4">
        <f>'Consumption Data'!T28</f>
        <v>0</v>
      </c>
      <c r="AD53" s="4">
        <f t="shared" si="12"/>
        <v>0</v>
      </c>
      <c r="AE53" s="9" t="str">
        <f t="shared" si="13"/>
        <v>Please enter a description for the meter</v>
      </c>
      <c r="AL53" t="b">
        <f t="shared" si="14"/>
        <v>0</v>
      </c>
      <c r="AM53" t="b">
        <f t="shared" si="15"/>
        <v>0</v>
      </c>
      <c r="AN53" t="b">
        <f t="shared" si="16"/>
        <v>0</v>
      </c>
      <c r="AO53" t="b">
        <f t="shared" si="17"/>
        <v>0</v>
      </c>
      <c r="AP53" t="b">
        <f t="shared" si="18"/>
        <v>0</v>
      </c>
      <c r="AQ53" t="b">
        <f t="shared" si="19"/>
        <v>0</v>
      </c>
      <c r="AR53" t="b">
        <f t="shared" si="20"/>
        <v>0</v>
      </c>
      <c r="AS53" t="b">
        <f t="shared" si="21"/>
        <v>0</v>
      </c>
      <c r="AT53" t="b">
        <f>IF(COUNTIF('Consumption Data'!J28:O28,"Yes")&lt;2,TRUE,IF(AC53=0,FALSE,TRUE))</f>
        <v>1</v>
      </c>
      <c r="AU53" t="b">
        <f t="shared" si="5"/>
        <v>1</v>
      </c>
      <c r="AV53" t="b">
        <f t="shared" si="22"/>
        <v>0</v>
      </c>
      <c r="AW53" t="b">
        <f>OR(AA53='Asset Information'!$C$10, 'Data Validation'!AA53&lt;'Asset Information'!$C$10)</f>
        <v>1</v>
      </c>
      <c r="AX53" t="b">
        <f t="shared" si="23"/>
        <v>0</v>
      </c>
      <c r="AY53" t="b">
        <f t="shared" si="24"/>
        <v>1</v>
      </c>
      <c r="AZ53" t="b">
        <f>OR('Asset Information'!$C$9='Data Validation'!AB53, 'Data Validation'!AB53&lt;'Asset Information'!$C$9)</f>
        <v>1</v>
      </c>
      <c r="BA53" t="b">
        <f t="shared" si="25"/>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13B22-BCDF-4DB4-A11C-D55C09353CEE}">
  <sheetPr>
    <tabColor theme="0" tint="-0.499984740745262"/>
  </sheetPr>
  <dimension ref="B2:X144"/>
  <sheetViews>
    <sheetView topLeftCell="A86" zoomScale="70" zoomScaleNormal="70" workbookViewId="0">
      <selection activeCell="J120" sqref="J120"/>
    </sheetView>
  </sheetViews>
  <sheetFormatPr baseColWidth="10" defaultColWidth="8.83203125" defaultRowHeight="15" x14ac:dyDescent="0.2"/>
  <cols>
    <col min="3" max="3" width="18.83203125" customWidth="1"/>
    <col min="4" max="4" width="28.6640625" customWidth="1"/>
    <col min="5" max="5" width="15.5" customWidth="1"/>
    <col min="6" max="6" width="17" customWidth="1"/>
    <col min="7" max="7" width="18" customWidth="1"/>
    <col min="8" max="8" width="16.5" customWidth="1"/>
    <col min="9" max="10" width="15.6640625" customWidth="1"/>
    <col min="11" max="11" width="11.5" customWidth="1"/>
    <col min="12" max="12" width="12.33203125" customWidth="1"/>
    <col min="13" max="13" width="20.33203125" customWidth="1"/>
    <col min="14" max="14" width="15" customWidth="1"/>
    <col min="15" max="15" width="17.6640625" customWidth="1"/>
    <col min="16" max="16" width="16.33203125" customWidth="1"/>
    <col min="17" max="17" width="11.6640625" customWidth="1"/>
    <col min="22" max="22" width="9.6640625" style="51" bestFit="1" customWidth="1"/>
    <col min="259" max="259" width="18.83203125" customWidth="1"/>
    <col min="260" max="260" width="28.6640625" customWidth="1"/>
    <col min="261" max="261" width="15.5" customWidth="1"/>
    <col min="262" max="262" width="17" customWidth="1"/>
    <col min="263" max="263" width="18" customWidth="1"/>
    <col min="264" max="264" width="16.5" customWidth="1"/>
    <col min="265" max="265" width="13.5" customWidth="1"/>
    <col min="266" max="266" width="15.6640625" customWidth="1"/>
    <col min="267" max="267" width="11.5" customWidth="1"/>
    <col min="268" max="268" width="12.33203125" customWidth="1"/>
    <col min="269" max="269" width="20.33203125" customWidth="1"/>
    <col min="270" max="270" width="15" customWidth="1"/>
    <col min="271" max="271" width="13.6640625" customWidth="1"/>
    <col min="272" max="272" width="16.33203125" customWidth="1"/>
    <col min="273" max="273" width="11.6640625" customWidth="1"/>
    <col min="278" max="278" width="9.6640625" bestFit="1" customWidth="1"/>
    <col min="515" max="515" width="18.83203125" customWidth="1"/>
    <col min="516" max="516" width="28.6640625" customWidth="1"/>
    <col min="517" max="517" width="15.5" customWidth="1"/>
    <col min="518" max="518" width="17" customWidth="1"/>
    <col min="519" max="519" width="18" customWidth="1"/>
    <col min="520" max="520" width="16.5" customWidth="1"/>
    <col min="521" max="521" width="13.5" customWidth="1"/>
    <col min="522" max="522" width="15.6640625" customWidth="1"/>
    <col min="523" max="523" width="11.5" customWidth="1"/>
    <col min="524" max="524" width="12.33203125" customWidth="1"/>
    <col min="525" max="525" width="20.33203125" customWidth="1"/>
    <col min="526" max="526" width="15" customWidth="1"/>
    <col min="527" max="527" width="13.6640625" customWidth="1"/>
    <col min="528" max="528" width="16.33203125" customWidth="1"/>
    <col min="529" max="529" width="11.6640625" customWidth="1"/>
    <col min="534" max="534" width="9.6640625" bestFit="1" customWidth="1"/>
    <col min="771" max="771" width="18.83203125" customWidth="1"/>
    <col min="772" max="772" width="28.6640625" customWidth="1"/>
    <col min="773" max="773" width="15.5" customWidth="1"/>
    <col min="774" max="774" width="17" customWidth="1"/>
    <col min="775" max="775" width="18" customWidth="1"/>
    <col min="776" max="776" width="16.5" customWidth="1"/>
    <col min="777" max="777" width="13.5" customWidth="1"/>
    <col min="778" max="778" width="15.6640625" customWidth="1"/>
    <col min="779" max="779" width="11.5" customWidth="1"/>
    <col min="780" max="780" width="12.33203125" customWidth="1"/>
    <col min="781" max="781" width="20.33203125" customWidth="1"/>
    <col min="782" max="782" width="15" customWidth="1"/>
    <col min="783" max="783" width="13.6640625" customWidth="1"/>
    <col min="784" max="784" width="16.33203125" customWidth="1"/>
    <col min="785" max="785" width="11.6640625" customWidth="1"/>
    <col min="790" max="790" width="9.6640625" bestFit="1" customWidth="1"/>
    <col min="1027" max="1027" width="18.83203125" customWidth="1"/>
    <col min="1028" max="1028" width="28.6640625" customWidth="1"/>
    <col min="1029" max="1029" width="15.5" customWidth="1"/>
    <col min="1030" max="1030" width="17" customWidth="1"/>
    <col min="1031" max="1031" width="18" customWidth="1"/>
    <col min="1032" max="1032" width="16.5" customWidth="1"/>
    <col min="1033" max="1033" width="13.5" customWidth="1"/>
    <col min="1034" max="1034" width="15.6640625" customWidth="1"/>
    <col min="1035" max="1035" width="11.5" customWidth="1"/>
    <col min="1036" max="1036" width="12.33203125" customWidth="1"/>
    <col min="1037" max="1037" width="20.33203125" customWidth="1"/>
    <col min="1038" max="1038" width="15" customWidth="1"/>
    <col min="1039" max="1039" width="13.6640625" customWidth="1"/>
    <col min="1040" max="1040" width="16.33203125" customWidth="1"/>
    <col min="1041" max="1041" width="11.6640625" customWidth="1"/>
    <col min="1046" max="1046" width="9.6640625" bestFit="1" customWidth="1"/>
    <col min="1283" max="1283" width="18.83203125" customWidth="1"/>
    <col min="1284" max="1284" width="28.6640625" customWidth="1"/>
    <col min="1285" max="1285" width="15.5" customWidth="1"/>
    <col min="1286" max="1286" width="17" customWidth="1"/>
    <col min="1287" max="1287" width="18" customWidth="1"/>
    <col min="1288" max="1288" width="16.5" customWidth="1"/>
    <col min="1289" max="1289" width="13.5" customWidth="1"/>
    <col min="1290" max="1290" width="15.6640625" customWidth="1"/>
    <col min="1291" max="1291" width="11.5" customWidth="1"/>
    <col min="1292" max="1292" width="12.33203125" customWidth="1"/>
    <col min="1293" max="1293" width="20.33203125" customWidth="1"/>
    <col min="1294" max="1294" width="15" customWidth="1"/>
    <col min="1295" max="1295" width="13.6640625" customWidth="1"/>
    <col min="1296" max="1296" width="16.33203125" customWidth="1"/>
    <col min="1297" max="1297" width="11.6640625" customWidth="1"/>
    <col min="1302" max="1302" width="9.6640625" bestFit="1" customWidth="1"/>
    <col min="1539" max="1539" width="18.83203125" customWidth="1"/>
    <col min="1540" max="1540" width="28.6640625" customWidth="1"/>
    <col min="1541" max="1541" width="15.5" customWidth="1"/>
    <col min="1542" max="1542" width="17" customWidth="1"/>
    <col min="1543" max="1543" width="18" customWidth="1"/>
    <col min="1544" max="1544" width="16.5" customWidth="1"/>
    <col min="1545" max="1545" width="13.5" customWidth="1"/>
    <col min="1546" max="1546" width="15.6640625" customWidth="1"/>
    <col min="1547" max="1547" width="11.5" customWidth="1"/>
    <col min="1548" max="1548" width="12.33203125" customWidth="1"/>
    <col min="1549" max="1549" width="20.33203125" customWidth="1"/>
    <col min="1550" max="1550" width="15" customWidth="1"/>
    <col min="1551" max="1551" width="13.6640625" customWidth="1"/>
    <col min="1552" max="1552" width="16.33203125" customWidth="1"/>
    <col min="1553" max="1553" width="11.6640625" customWidth="1"/>
    <col min="1558" max="1558" width="9.6640625" bestFit="1" customWidth="1"/>
    <col min="1795" max="1795" width="18.83203125" customWidth="1"/>
    <col min="1796" max="1796" width="28.6640625" customWidth="1"/>
    <col min="1797" max="1797" width="15.5" customWidth="1"/>
    <col min="1798" max="1798" width="17" customWidth="1"/>
    <col min="1799" max="1799" width="18" customWidth="1"/>
    <col min="1800" max="1800" width="16.5" customWidth="1"/>
    <col min="1801" max="1801" width="13.5" customWidth="1"/>
    <col min="1802" max="1802" width="15.6640625" customWidth="1"/>
    <col min="1803" max="1803" width="11.5" customWidth="1"/>
    <col min="1804" max="1804" width="12.33203125" customWidth="1"/>
    <col min="1805" max="1805" width="20.33203125" customWidth="1"/>
    <col min="1806" max="1806" width="15" customWidth="1"/>
    <col min="1807" max="1807" width="13.6640625" customWidth="1"/>
    <col min="1808" max="1808" width="16.33203125" customWidth="1"/>
    <col min="1809" max="1809" width="11.6640625" customWidth="1"/>
    <col min="1814" max="1814" width="9.6640625" bestFit="1" customWidth="1"/>
    <col min="2051" max="2051" width="18.83203125" customWidth="1"/>
    <col min="2052" max="2052" width="28.6640625" customWidth="1"/>
    <col min="2053" max="2053" width="15.5" customWidth="1"/>
    <col min="2054" max="2054" width="17" customWidth="1"/>
    <col min="2055" max="2055" width="18" customWidth="1"/>
    <col min="2056" max="2056" width="16.5" customWidth="1"/>
    <col min="2057" max="2057" width="13.5" customWidth="1"/>
    <col min="2058" max="2058" width="15.6640625" customWidth="1"/>
    <col min="2059" max="2059" width="11.5" customWidth="1"/>
    <col min="2060" max="2060" width="12.33203125" customWidth="1"/>
    <col min="2061" max="2061" width="20.33203125" customWidth="1"/>
    <col min="2062" max="2062" width="15" customWidth="1"/>
    <col min="2063" max="2063" width="13.6640625" customWidth="1"/>
    <col min="2064" max="2064" width="16.33203125" customWidth="1"/>
    <col min="2065" max="2065" width="11.6640625" customWidth="1"/>
    <col min="2070" max="2070" width="9.6640625" bestFit="1" customWidth="1"/>
    <col min="2307" max="2307" width="18.83203125" customWidth="1"/>
    <col min="2308" max="2308" width="28.6640625" customWidth="1"/>
    <col min="2309" max="2309" width="15.5" customWidth="1"/>
    <col min="2310" max="2310" width="17" customWidth="1"/>
    <col min="2311" max="2311" width="18" customWidth="1"/>
    <col min="2312" max="2312" width="16.5" customWidth="1"/>
    <col min="2313" max="2313" width="13.5" customWidth="1"/>
    <col min="2314" max="2314" width="15.6640625" customWidth="1"/>
    <col min="2315" max="2315" width="11.5" customWidth="1"/>
    <col min="2316" max="2316" width="12.33203125" customWidth="1"/>
    <col min="2317" max="2317" width="20.33203125" customWidth="1"/>
    <col min="2318" max="2318" width="15" customWidth="1"/>
    <col min="2319" max="2319" width="13.6640625" customWidth="1"/>
    <col min="2320" max="2320" width="16.33203125" customWidth="1"/>
    <col min="2321" max="2321" width="11.6640625" customWidth="1"/>
    <col min="2326" max="2326" width="9.6640625" bestFit="1" customWidth="1"/>
    <col min="2563" max="2563" width="18.83203125" customWidth="1"/>
    <col min="2564" max="2564" width="28.6640625" customWidth="1"/>
    <col min="2565" max="2565" width="15.5" customWidth="1"/>
    <col min="2566" max="2566" width="17" customWidth="1"/>
    <col min="2567" max="2567" width="18" customWidth="1"/>
    <col min="2568" max="2568" width="16.5" customWidth="1"/>
    <col min="2569" max="2569" width="13.5" customWidth="1"/>
    <col min="2570" max="2570" width="15.6640625" customWidth="1"/>
    <col min="2571" max="2571" width="11.5" customWidth="1"/>
    <col min="2572" max="2572" width="12.33203125" customWidth="1"/>
    <col min="2573" max="2573" width="20.33203125" customWidth="1"/>
    <col min="2574" max="2574" width="15" customWidth="1"/>
    <col min="2575" max="2575" width="13.6640625" customWidth="1"/>
    <col min="2576" max="2576" width="16.33203125" customWidth="1"/>
    <col min="2577" max="2577" width="11.6640625" customWidth="1"/>
    <col min="2582" max="2582" width="9.6640625" bestFit="1" customWidth="1"/>
    <col min="2819" max="2819" width="18.83203125" customWidth="1"/>
    <col min="2820" max="2820" width="28.6640625" customWidth="1"/>
    <col min="2821" max="2821" width="15.5" customWidth="1"/>
    <col min="2822" max="2822" width="17" customWidth="1"/>
    <col min="2823" max="2823" width="18" customWidth="1"/>
    <col min="2824" max="2824" width="16.5" customWidth="1"/>
    <col min="2825" max="2825" width="13.5" customWidth="1"/>
    <col min="2826" max="2826" width="15.6640625" customWidth="1"/>
    <col min="2827" max="2827" width="11.5" customWidth="1"/>
    <col min="2828" max="2828" width="12.33203125" customWidth="1"/>
    <col min="2829" max="2829" width="20.33203125" customWidth="1"/>
    <col min="2830" max="2830" width="15" customWidth="1"/>
    <col min="2831" max="2831" width="13.6640625" customWidth="1"/>
    <col min="2832" max="2832" width="16.33203125" customWidth="1"/>
    <col min="2833" max="2833" width="11.6640625" customWidth="1"/>
    <col min="2838" max="2838" width="9.6640625" bestFit="1" customWidth="1"/>
    <col min="3075" max="3075" width="18.83203125" customWidth="1"/>
    <col min="3076" max="3076" width="28.6640625" customWidth="1"/>
    <col min="3077" max="3077" width="15.5" customWidth="1"/>
    <col min="3078" max="3078" width="17" customWidth="1"/>
    <col min="3079" max="3079" width="18" customWidth="1"/>
    <col min="3080" max="3080" width="16.5" customWidth="1"/>
    <col min="3081" max="3081" width="13.5" customWidth="1"/>
    <col min="3082" max="3082" width="15.6640625" customWidth="1"/>
    <col min="3083" max="3083" width="11.5" customWidth="1"/>
    <col min="3084" max="3084" width="12.33203125" customWidth="1"/>
    <col min="3085" max="3085" width="20.33203125" customWidth="1"/>
    <col min="3086" max="3086" width="15" customWidth="1"/>
    <col min="3087" max="3087" width="13.6640625" customWidth="1"/>
    <col min="3088" max="3088" width="16.33203125" customWidth="1"/>
    <col min="3089" max="3089" width="11.6640625" customWidth="1"/>
    <col min="3094" max="3094" width="9.6640625" bestFit="1" customWidth="1"/>
    <col min="3331" max="3331" width="18.83203125" customWidth="1"/>
    <col min="3332" max="3332" width="28.6640625" customWidth="1"/>
    <col min="3333" max="3333" width="15.5" customWidth="1"/>
    <col min="3334" max="3334" width="17" customWidth="1"/>
    <col min="3335" max="3335" width="18" customWidth="1"/>
    <col min="3336" max="3336" width="16.5" customWidth="1"/>
    <col min="3337" max="3337" width="13.5" customWidth="1"/>
    <col min="3338" max="3338" width="15.6640625" customWidth="1"/>
    <col min="3339" max="3339" width="11.5" customWidth="1"/>
    <col min="3340" max="3340" width="12.33203125" customWidth="1"/>
    <col min="3341" max="3341" width="20.33203125" customWidth="1"/>
    <col min="3342" max="3342" width="15" customWidth="1"/>
    <col min="3343" max="3343" width="13.6640625" customWidth="1"/>
    <col min="3344" max="3344" width="16.33203125" customWidth="1"/>
    <col min="3345" max="3345" width="11.6640625" customWidth="1"/>
    <col min="3350" max="3350" width="9.6640625" bestFit="1" customWidth="1"/>
    <col min="3587" max="3587" width="18.83203125" customWidth="1"/>
    <col min="3588" max="3588" width="28.6640625" customWidth="1"/>
    <col min="3589" max="3589" width="15.5" customWidth="1"/>
    <col min="3590" max="3590" width="17" customWidth="1"/>
    <col min="3591" max="3591" width="18" customWidth="1"/>
    <col min="3592" max="3592" width="16.5" customWidth="1"/>
    <col min="3593" max="3593" width="13.5" customWidth="1"/>
    <col min="3594" max="3594" width="15.6640625" customWidth="1"/>
    <col min="3595" max="3595" width="11.5" customWidth="1"/>
    <col min="3596" max="3596" width="12.33203125" customWidth="1"/>
    <col min="3597" max="3597" width="20.33203125" customWidth="1"/>
    <col min="3598" max="3598" width="15" customWidth="1"/>
    <col min="3599" max="3599" width="13.6640625" customWidth="1"/>
    <col min="3600" max="3600" width="16.33203125" customWidth="1"/>
    <col min="3601" max="3601" width="11.6640625" customWidth="1"/>
    <col min="3606" max="3606" width="9.6640625" bestFit="1" customWidth="1"/>
    <col min="3843" max="3843" width="18.83203125" customWidth="1"/>
    <col min="3844" max="3844" width="28.6640625" customWidth="1"/>
    <col min="3845" max="3845" width="15.5" customWidth="1"/>
    <col min="3846" max="3846" width="17" customWidth="1"/>
    <col min="3847" max="3847" width="18" customWidth="1"/>
    <col min="3848" max="3848" width="16.5" customWidth="1"/>
    <col min="3849" max="3849" width="13.5" customWidth="1"/>
    <col min="3850" max="3850" width="15.6640625" customWidth="1"/>
    <col min="3851" max="3851" width="11.5" customWidth="1"/>
    <col min="3852" max="3852" width="12.33203125" customWidth="1"/>
    <col min="3853" max="3853" width="20.33203125" customWidth="1"/>
    <col min="3854" max="3854" width="15" customWidth="1"/>
    <col min="3855" max="3855" width="13.6640625" customWidth="1"/>
    <col min="3856" max="3856" width="16.33203125" customWidth="1"/>
    <col min="3857" max="3857" width="11.6640625" customWidth="1"/>
    <col min="3862" max="3862" width="9.6640625" bestFit="1" customWidth="1"/>
    <col min="4099" max="4099" width="18.83203125" customWidth="1"/>
    <col min="4100" max="4100" width="28.6640625" customWidth="1"/>
    <col min="4101" max="4101" width="15.5" customWidth="1"/>
    <col min="4102" max="4102" width="17" customWidth="1"/>
    <col min="4103" max="4103" width="18" customWidth="1"/>
    <col min="4104" max="4104" width="16.5" customWidth="1"/>
    <col min="4105" max="4105" width="13.5" customWidth="1"/>
    <col min="4106" max="4106" width="15.6640625" customWidth="1"/>
    <col min="4107" max="4107" width="11.5" customWidth="1"/>
    <col min="4108" max="4108" width="12.33203125" customWidth="1"/>
    <col min="4109" max="4109" width="20.33203125" customWidth="1"/>
    <col min="4110" max="4110" width="15" customWidth="1"/>
    <col min="4111" max="4111" width="13.6640625" customWidth="1"/>
    <col min="4112" max="4112" width="16.33203125" customWidth="1"/>
    <col min="4113" max="4113" width="11.6640625" customWidth="1"/>
    <col min="4118" max="4118" width="9.6640625" bestFit="1" customWidth="1"/>
    <col min="4355" max="4355" width="18.83203125" customWidth="1"/>
    <col min="4356" max="4356" width="28.6640625" customWidth="1"/>
    <col min="4357" max="4357" width="15.5" customWidth="1"/>
    <col min="4358" max="4358" width="17" customWidth="1"/>
    <col min="4359" max="4359" width="18" customWidth="1"/>
    <col min="4360" max="4360" width="16.5" customWidth="1"/>
    <col min="4361" max="4361" width="13.5" customWidth="1"/>
    <col min="4362" max="4362" width="15.6640625" customWidth="1"/>
    <col min="4363" max="4363" width="11.5" customWidth="1"/>
    <col min="4364" max="4364" width="12.33203125" customWidth="1"/>
    <col min="4365" max="4365" width="20.33203125" customWidth="1"/>
    <col min="4366" max="4366" width="15" customWidth="1"/>
    <col min="4367" max="4367" width="13.6640625" customWidth="1"/>
    <col min="4368" max="4368" width="16.33203125" customWidth="1"/>
    <col min="4369" max="4369" width="11.6640625" customWidth="1"/>
    <col min="4374" max="4374" width="9.6640625" bestFit="1" customWidth="1"/>
    <col min="4611" max="4611" width="18.83203125" customWidth="1"/>
    <col min="4612" max="4612" width="28.6640625" customWidth="1"/>
    <col min="4613" max="4613" width="15.5" customWidth="1"/>
    <col min="4614" max="4614" width="17" customWidth="1"/>
    <col min="4615" max="4615" width="18" customWidth="1"/>
    <col min="4616" max="4616" width="16.5" customWidth="1"/>
    <col min="4617" max="4617" width="13.5" customWidth="1"/>
    <col min="4618" max="4618" width="15.6640625" customWidth="1"/>
    <col min="4619" max="4619" width="11.5" customWidth="1"/>
    <col min="4620" max="4620" width="12.33203125" customWidth="1"/>
    <col min="4621" max="4621" width="20.33203125" customWidth="1"/>
    <col min="4622" max="4622" width="15" customWidth="1"/>
    <col min="4623" max="4623" width="13.6640625" customWidth="1"/>
    <col min="4624" max="4624" width="16.33203125" customWidth="1"/>
    <col min="4625" max="4625" width="11.6640625" customWidth="1"/>
    <col min="4630" max="4630" width="9.6640625" bestFit="1" customWidth="1"/>
    <col min="4867" max="4867" width="18.83203125" customWidth="1"/>
    <col min="4868" max="4868" width="28.6640625" customWidth="1"/>
    <col min="4869" max="4869" width="15.5" customWidth="1"/>
    <col min="4870" max="4870" width="17" customWidth="1"/>
    <col min="4871" max="4871" width="18" customWidth="1"/>
    <col min="4872" max="4872" width="16.5" customWidth="1"/>
    <col min="4873" max="4873" width="13.5" customWidth="1"/>
    <col min="4874" max="4874" width="15.6640625" customWidth="1"/>
    <col min="4875" max="4875" width="11.5" customWidth="1"/>
    <col min="4876" max="4876" width="12.33203125" customWidth="1"/>
    <col min="4877" max="4877" width="20.33203125" customWidth="1"/>
    <col min="4878" max="4878" width="15" customWidth="1"/>
    <col min="4879" max="4879" width="13.6640625" customWidth="1"/>
    <col min="4880" max="4880" width="16.33203125" customWidth="1"/>
    <col min="4881" max="4881" width="11.6640625" customWidth="1"/>
    <col min="4886" max="4886" width="9.6640625" bestFit="1" customWidth="1"/>
    <col min="5123" max="5123" width="18.83203125" customWidth="1"/>
    <col min="5124" max="5124" width="28.6640625" customWidth="1"/>
    <col min="5125" max="5125" width="15.5" customWidth="1"/>
    <col min="5126" max="5126" width="17" customWidth="1"/>
    <col min="5127" max="5127" width="18" customWidth="1"/>
    <col min="5128" max="5128" width="16.5" customWidth="1"/>
    <col min="5129" max="5129" width="13.5" customWidth="1"/>
    <col min="5130" max="5130" width="15.6640625" customWidth="1"/>
    <col min="5131" max="5131" width="11.5" customWidth="1"/>
    <col min="5132" max="5132" width="12.33203125" customWidth="1"/>
    <col min="5133" max="5133" width="20.33203125" customWidth="1"/>
    <col min="5134" max="5134" width="15" customWidth="1"/>
    <col min="5135" max="5135" width="13.6640625" customWidth="1"/>
    <col min="5136" max="5136" width="16.33203125" customWidth="1"/>
    <col min="5137" max="5137" width="11.6640625" customWidth="1"/>
    <col min="5142" max="5142" width="9.6640625" bestFit="1" customWidth="1"/>
    <col min="5379" max="5379" width="18.83203125" customWidth="1"/>
    <col min="5380" max="5380" width="28.6640625" customWidth="1"/>
    <col min="5381" max="5381" width="15.5" customWidth="1"/>
    <col min="5382" max="5382" width="17" customWidth="1"/>
    <col min="5383" max="5383" width="18" customWidth="1"/>
    <col min="5384" max="5384" width="16.5" customWidth="1"/>
    <col min="5385" max="5385" width="13.5" customWidth="1"/>
    <col min="5386" max="5386" width="15.6640625" customWidth="1"/>
    <col min="5387" max="5387" width="11.5" customWidth="1"/>
    <col min="5388" max="5388" width="12.33203125" customWidth="1"/>
    <col min="5389" max="5389" width="20.33203125" customWidth="1"/>
    <col min="5390" max="5390" width="15" customWidth="1"/>
    <col min="5391" max="5391" width="13.6640625" customWidth="1"/>
    <col min="5392" max="5392" width="16.33203125" customWidth="1"/>
    <col min="5393" max="5393" width="11.6640625" customWidth="1"/>
    <col min="5398" max="5398" width="9.6640625" bestFit="1" customWidth="1"/>
    <col min="5635" max="5635" width="18.83203125" customWidth="1"/>
    <col min="5636" max="5636" width="28.6640625" customWidth="1"/>
    <col min="5637" max="5637" width="15.5" customWidth="1"/>
    <col min="5638" max="5638" width="17" customWidth="1"/>
    <col min="5639" max="5639" width="18" customWidth="1"/>
    <col min="5640" max="5640" width="16.5" customWidth="1"/>
    <col min="5641" max="5641" width="13.5" customWidth="1"/>
    <col min="5642" max="5642" width="15.6640625" customWidth="1"/>
    <col min="5643" max="5643" width="11.5" customWidth="1"/>
    <col min="5644" max="5644" width="12.33203125" customWidth="1"/>
    <col min="5645" max="5645" width="20.33203125" customWidth="1"/>
    <col min="5646" max="5646" width="15" customWidth="1"/>
    <col min="5647" max="5647" width="13.6640625" customWidth="1"/>
    <col min="5648" max="5648" width="16.33203125" customWidth="1"/>
    <col min="5649" max="5649" width="11.6640625" customWidth="1"/>
    <col min="5654" max="5654" width="9.6640625" bestFit="1" customWidth="1"/>
    <col min="5891" max="5891" width="18.83203125" customWidth="1"/>
    <col min="5892" max="5892" width="28.6640625" customWidth="1"/>
    <col min="5893" max="5893" width="15.5" customWidth="1"/>
    <col min="5894" max="5894" width="17" customWidth="1"/>
    <col min="5895" max="5895" width="18" customWidth="1"/>
    <col min="5896" max="5896" width="16.5" customWidth="1"/>
    <col min="5897" max="5897" width="13.5" customWidth="1"/>
    <col min="5898" max="5898" width="15.6640625" customWidth="1"/>
    <col min="5899" max="5899" width="11.5" customWidth="1"/>
    <col min="5900" max="5900" width="12.33203125" customWidth="1"/>
    <col min="5901" max="5901" width="20.33203125" customWidth="1"/>
    <col min="5902" max="5902" width="15" customWidth="1"/>
    <col min="5903" max="5903" width="13.6640625" customWidth="1"/>
    <col min="5904" max="5904" width="16.33203125" customWidth="1"/>
    <col min="5905" max="5905" width="11.6640625" customWidth="1"/>
    <col min="5910" max="5910" width="9.6640625" bestFit="1" customWidth="1"/>
    <col min="6147" max="6147" width="18.83203125" customWidth="1"/>
    <col min="6148" max="6148" width="28.6640625" customWidth="1"/>
    <col min="6149" max="6149" width="15.5" customWidth="1"/>
    <col min="6150" max="6150" width="17" customWidth="1"/>
    <col min="6151" max="6151" width="18" customWidth="1"/>
    <col min="6152" max="6152" width="16.5" customWidth="1"/>
    <col min="6153" max="6153" width="13.5" customWidth="1"/>
    <col min="6154" max="6154" width="15.6640625" customWidth="1"/>
    <col min="6155" max="6155" width="11.5" customWidth="1"/>
    <col min="6156" max="6156" width="12.33203125" customWidth="1"/>
    <col min="6157" max="6157" width="20.33203125" customWidth="1"/>
    <col min="6158" max="6158" width="15" customWidth="1"/>
    <col min="6159" max="6159" width="13.6640625" customWidth="1"/>
    <col min="6160" max="6160" width="16.33203125" customWidth="1"/>
    <col min="6161" max="6161" width="11.6640625" customWidth="1"/>
    <col min="6166" max="6166" width="9.6640625" bestFit="1" customWidth="1"/>
    <col min="6403" max="6403" width="18.83203125" customWidth="1"/>
    <col min="6404" max="6404" width="28.6640625" customWidth="1"/>
    <col min="6405" max="6405" width="15.5" customWidth="1"/>
    <col min="6406" max="6406" width="17" customWidth="1"/>
    <col min="6407" max="6407" width="18" customWidth="1"/>
    <col min="6408" max="6408" width="16.5" customWidth="1"/>
    <col min="6409" max="6409" width="13.5" customWidth="1"/>
    <col min="6410" max="6410" width="15.6640625" customWidth="1"/>
    <col min="6411" max="6411" width="11.5" customWidth="1"/>
    <col min="6412" max="6412" width="12.33203125" customWidth="1"/>
    <col min="6413" max="6413" width="20.33203125" customWidth="1"/>
    <col min="6414" max="6414" width="15" customWidth="1"/>
    <col min="6415" max="6415" width="13.6640625" customWidth="1"/>
    <col min="6416" max="6416" width="16.33203125" customWidth="1"/>
    <col min="6417" max="6417" width="11.6640625" customWidth="1"/>
    <col min="6422" max="6422" width="9.6640625" bestFit="1" customWidth="1"/>
    <col min="6659" max="6659" width="18.83203125" customWidth="1"/>
    <col min="6660" max="6660" width="28.6640625" customWidth="1"/>
    <col min="6661" max="6661" width="15.5" customWidth="1"/>
    <col min="6662" max="6662" width="17" customWidth="1"/>
    <col min="6663" max="6663" width="18" customWidth="1"/>
    <col min="6664" max="6664" width="16.5" customWidth="1"/>
    <col min="6665" max="6665" width="13.5" customWidth="1"/>
    <col min="6666" max="6666" width="15.6640625" customWidth="1"/>
    <col min="6667" max="6667" width="11.5" customWidth="1"/>
    <col min="6668" max="6668" width="12.33203125" customWidth="1"/>
    <col min="6669" max="6669" width="20.33203125" customWidth="1"/>
    <col min="6670" max="6670" width="15" customWidth="1"/>
    <col min="6671" max="6671" width="13.6640625" customWidth="1"/>
    <col min="6672" max="6672" width="16.33203125" customWidth="1"/>
    <col min="6673" max="6673" width="11.6640625" customWidth="1"/>
    <col min="6678" max="6678" width="9.6640625" bestFit="1" customWidth="1"/>
    <col min="6915" max="6915" width="18.83203125" customWidth="1"/>
    <col min="6916" max="6916" width="28.6640625" customWidth="1"/>
    <col min="6917" max="6917" width="15.5" customWidth="1"/>
    <col min="6918" max="6918" width="17" customWidth="1"/>
    <col min="6919" max="6919" width="18" customWidth="1"/>
    <col min="6920" max="6920" width="16.5" customWidth="1"/>
    <col min="6921" max="6921" width="13.5" customWidth="1"/>
    <col min="6922" max="6922" width="15.6640625" customWidth="1"/>
    <col min="6923" max="6923" width="11.5" customWidth="1"/>
    <col min="6924" max="6924" width="12.33203125" customWidth="1"/>
    <col min="6925" max="6925" width="20.33203125" customWidth="1"/>
    <col min="6926" max="6926" width="15" customWidth="1"/>
    <col min="6927" max="6927" width="13.6640625" customWidth="1"/>
    <col min="6928" max="6928" width="16.33203125" customWidth="1"/>
    <col min="6929" max="6929" width="11.6640625" customWidth="1"/>
    <col min="6934" max="6934" width="9.6640625" bestFit="1" customWidth="1"/>
    <col min="7171" max="7171" width="18.83203125" customWidth="1"/>
    <col min="7172" max="7172" width="28.6640625" customWidth="1"/>
    <col min="7173" max="7173" width="15.5" customWidth="1"/>
    <col min="7174" max="7174" width="17" customWidth="1"/>
    <col min="7175" max="7175" width="18" customWidth="1"/>
    <col min="7176" max="7176" width="16.5" customWidth="1"/>
    <col min="7177" max="7177" width="13.5" customWidth="1"/>
    <col min="7178" max="7178" width="15.6640625" customWidth="1"/>
    <col min="7179" max="7179" width="11.5" customWidth="1"/>
    <col min="7180" max="7180" width="12.33203125" customWidth="1"/>
    <col min="7181" max="7181" width="20.33203125" customWidth="1"/>
    <col min="7182" max="7182" width="15" customWidth="1"/>
    <col min="7183" max="7183" width="13.6640625" customWidth="1"/>
    <col min="7184" max="7184" width="16.33203125" customWidth="1"/>
    <col min="7185" max="7185" width="11.6640625" customWidth="1"/>
    <col min="7190" max="7190" width="9.6640625" bestFit="1" customWidth="1"/>
    <col min="7427" max="7427" width="18.83203125" customWidth="1"/>
    <col min="7428" max="7428" width="28.6640625" customWidth="1"/>
    <col min="7429" max="7429" width="15.5" customWidth="1"/>
    <col min="7430" max="7430" width="17" customWidth="1"/>
    <col min="7431" max="7431" width="18" customWidth="1"/>
    <col min="7432" max="7432" width="16.5" customWidth="1"/>
    <col min="7433" max="7433" width="13.5" customWidth="1"/>
    <col min="7434" max="7434" width="15.6640625" customWidth="1"/>
    <col min="7435" max="7435" width="11.5" customWidth="1"/>
    <col min="7436" max="7436" width="12.33203125" customWidth="1"/>
    <col min="7437" max="7437" width="20.33203125" customWidth="1"/>
    <col min="7438" max="7438" width="15" customWidth="1"/>
    <col min="7439" max="7439" width="13.6640625" customWidth="1"/>
    <col min="7440" max="7440" width="16.33203125" customWidth="1"/>
    <col min="7441" max="7441" width="11.6640625" customWidth="1"/>
    <col min="7446" max="7446" width="9.6640625" bestFit="1" customWidth="1"/>
    <col min="7683" max="7683" width="18.83203125" customWidth="1"/>
    <col min="7684" max="7684" width="28.6640625" customWidth="1"/>
    <col min="7685" max="7685" width="15.5" customWidth="1"/>
    <col min="7686" max="7686" width="17" customWidth="1"/>
    <col min="7687" max="7687" width="18" customWidth="1"/>
    <col min="7688" max="7688" width="16.5" customWidth="1"/>
    <col min="7689" max="7689" width="13.5" customWidth="1"/>
    <col min="7690" max="7690" width="15.6640625" customWidth="1"/>
    <col min="7691" max="7691" width="11.5" customWidth="1"/>
    <col min="7692" max="7692" width="12.33203125" customWidth="1"/>
    <col min="7693" max="7693" width="20.33203125" customWidth="1"/>
    <col min="7694" max="7694" width="15" customWidth="1"/>
    <col min="7695" max="7695" width="13.6640625" customWidth="1"/>
    <col min="7696" max="7696" width="16.33203125" customWidth="1"/>
    <col min="7697" max="7697" width="11.6640625" customWidth="1"/>
    <col min="7702" max="7702" width="9.6640625" bestFit="1" customWidth="1"/>
    <col min="7939" max="7939" width="18.83203125" customWidth="1"/>
    <col min="7940" max="7940" width="28.6640625" customWidth="1"/>
    <col min="7941" max="7941" width="15.5" customWidth="1"/>
    <col min="7942" max="7942" width="17" customWidth="1"/>
    <col min="7943" max="7943" width="18" customWidth="1"/>
    <col min="7944" max="7944" width="16.5" customWidth="1"/>
    <col min="7945" max="7945" width="13.5" customWidth="1"/>
    <col min="7946" max="7946" width="15.6640625" customWidth="1"/>
    <col min="7947" max="7947" width="11.5" customWidth="1"/>
    <col min="7948" max="7948" width="12.33203125" customWidth="1"/>
    <col min="7949" max="7949" width="20.33203125" customWidth="1"/>
    <col min="7950" max="7950" width="15" customWidth="1"/>
    <col min="7951" max="7951" width="13.6640625" customWidth="1"/>
    <col min="7952" max="7952" width="16.33203125" customWidth="1"/>
    <col min="7953" max="7953" width="11.6640625" customWidth="1"/>
    <col min="7958" max="7958" width="9.6640625" bestFit="1" customWidth="1"/>
    <col min="8195" max="8195" width="18.83203125" customWidth="1"/>
    <col min="8196" max="8196" width="28.6640625" customWidth="1"/>
    <col min="8197" max="8197" width="15.5" customWidth="1"/>
    <col min="8198" max="8198" width="17" customWidth="1"/>
    <col min="8199" max="8199" width="18" customWidth="1"/>
    <col min="8200" max="8200" width="16.5" customWidth="1"/>
    <col min="8201" max="8201" width="13.5" customWidth="1"/>
    <col min="8202" max="8202" width="15.6640625" customWidth="1"/>
    <col min="8203" max="8203" width="11.5" customWidth="1"/>
    <col min="8204" max="8204" width="12.33203125" customWidth="1"/>
    <col min="8205" max="8205" width="20.33203125" customWidth="1"/>
    <col min="8206" max="8206" width="15" customWidth="1"/>
    <col min="8207" max="8207" width="13.6640625" customWidth="1"/>
    <col min="8208" max="8208" width="16.33203125" customWidth="1"/>
    <col min="8209" max="8209" width="11.6640625" customWidth="1"/>
    <col min="8214" max="8214" width="9.6640625" bestFit="1" customWidth="1"/>
    <col min="8451" max="8451" width="18.83203125" customWidth="1"/>
    <col min="8452" max="8452" width="28.6640625" customWidth="1"/>
    <col min="8453" max="8453" width="15.5" customWidth="1"/>
    <col min="8454" max="8454" width="17" customWidth="1"/>
    <col min="8455" max="8455" width="18" customWidth="1"/>
    <col min="8456" max="8456" width="16.5" customWidth="1"/>
    <col min="8457" max="8457" width="13.5" customWidth="1"/>
    <col min="8458" max="8458" width="15.6640625" customWidth="1"/>
    <col min="8459" max="8459" width="11.5" customWidth="1"/>
    <col min="8460" max="8460" width="12.33203125" customWidth="1"/>
    <col min="8461" max="8461" width="20.33203125" customWidth="1"/>
    <col min="8462" max="8462" width="15" customWidth="1"/>
    <col min="8463" max="8463" width="13.6640625" customWidth="1"/>
    <col min="8464" max="8464" width="16.33203125" customWidth="1"/>
    <col min="8465" max="8465" width="11.6640625" customWidth="1"/>
    <col min="8470" max="8470" width="9.6640625" bestFit="1" customWidth="1"/>
    <col min="8707" max="8707" width="18.83203125" customWidth="1"/>
    <col min="8708" max="8708" width="28.6640625" customWidth="1"/>
    <col min="8709" max="8709" width="15.5" customWidth="1"/>
    <col min="8710" max="8710" width="17" customWidth="1"/>
    <col min="8711" max="8711" width="18" customWidth="1"/>
    <col min="8712" max="8712" width="16.5" customWidth="1"/>
    <col min="8713" max="8713" width="13.5" customWidth="1"/>
    <col min="8714" max="8714" width="15.6640625" customWidth="1"/>
    <col min="8715" max="8715" width="11.5" customWidth="1"/>
    <col min="8716" max="8716" width="12.33203125" customWidth="1"/>
    <col min="8717" max="8717" width="20.33203125" customWidth="1"/>
    <col min="8718" max="8718" width="15" customWidth="1"/>
    <col min="8719" max="8719" width="13.6640625" customWidth="1"/>
    <col min="8720" max="8720" width="16.33203125" customWidth="1"/>
    <col min="8721" max="8721" width="11.6640625" customWidth="1"/>
    <col min="8726" max="8726" width="9.6640625" bestFit="1" customWidth="1"/>
    <col min="8963" max="8963" width="18.83203125" customWidth="1"/>
    <col min="8964" max="8964" width="28.6640625" customWidth="1"/>
    <col min="8965" max="8965" width="15.5" customWidth="1"/>
    <col min="8966" max="8966" width="17" customWidth="1"/>
    <col min="8967" max="8967" width="18" customWidth="1"/>
    <col min="8968" max="8968" width="16.5" customWidth="1"/>
    <col min="8969" max="8969" width="13.5" customWidth="1"/>
    <col min="8970" max="8970" width="15.6640625" customWidth="1"/>
    <col min="8971" max="8971" width="11.5" customWidth="1"/>
    <col min="8972" max="8972" width="12.33203125" customWidth="1"/>
    <col min="8973" max="8973" width="20.33203125" customWidth="1"/>
    <col min="8974" max="8974" width="15" customWidth="1"/>
    <col min="8975" max="8975" width="13.6640625" customWidth="1"/>
    <col min="8976" max="8976" width="16.33203125" customWidth="1"/>
    <col min="8977" max="8977" width="11.6640625" customWidth="1"/>
    <col min="8982" max="8982" width="9.6640625" bestFit="1" customWidth="1"/>
    <col min="9219" max="9219" width="18.83203125" customWidth="1"/>
    <col min="9220" max="9220" width="28.6640625" customWidth="1"/>
    <col min="9221" max="9221" width="15.5" customWidth="1"/>
    <col min="9222" max="9222" width="17" customWidth="1"/>
    <col min="9223" max="9223" width="18" customWidth="1"/>
    <col min="9224" max="9224" width="16.5" customWidth="1"/>
    <col min="9225" max="9225" width="13.5" customWidth="1"/>
    <col min="9226" max="9226" width="15.6640625" customWidth="1"/>
    <col min="9227" max="9227" width="11.5" customWidth="1"/>
    <col min="9228" max="9228" width="12.33203125" customWidth="1"/>
    <col min="9229" max="9229" width="20.33203125" customWidth="1"/>
    <col min="9230" max="9230" width="15" customWidth="1"/>
    <col min="9231" max="9231" width="13.6640625" customWidth="1"/>
    <col min="9232" max="9232" width="16.33203125" customWidth="1"/>
    <col min="9233" max="9233" width="11.6640625" customWidth="1"/>
    <col min="9238" max="9238" width="9.6640625" bestFit="1" customWidth="1"/>
    <col min="9475" max="9475" width="18.83203125" customWidth="1"/>
    <col min="9476" max="9476" width="28.6640625" customWidth="1"/>
    <col min="9477" max="9477" width="15.5" customWidth="1"/>
    <col min="9478" max="9478" width="17" customWidth="1"/>
    <col min="9479" max="9479" width="18" customWidth="1"/>
    <col min="9480" max="9480" width="16.5" customWidth="1"/>
    <col min="9481" max="9481" width="13.5" customWidth="1"/>
    <col min="9482" max="9482" width="15.6640625" customWidth="1"/>
    <col min="9483" max="9483" width="11.5" customWidth="1"/>
    <col min="9484" max="9484" width="12.33203125" customWidth="1"/>
    <col min="9485" max="9485" width="20.33203125" customWidth="1"/>
    <col min="9486" max="9486" width="15" customWidth="1"/>
    <col min="9487" max="9487" width="13.6640625" customWidth="1"/>
    <col min="9488" max="9488" width="16.33203125" customWidth="1"/>
    <col min="9489" max="9489" width="11.6640625" customWidth="1"/>
    <col min="9494" max="9494" width="9.6640625" bestFit="1" customWidth="1"/>
    <col min="9731" max="9731" width="18.83203125" customWidth="1"/>
    <col min="9732" max="9732" width="28.6640625" customWidth="1"/>
    <col min="9733" max="9733" width="15.5" customWidth="1"/>
    <col min="9734" max="9734" width="17" customWidth="1"/>
    <col min="9735" max="9735" width="18" customWidth="1"/>
    <col min="9736" max="9736" width="16.5" customWidth="1"/>
    <col min="9737" max="9737" width="13.5" customWidth="1"/>
    <col min="9738" max="9738" width="15.6640625" customWidth="1"/>
    <col min="9739" max="9739" width="11.5" customWidth="1"/>
    <col min="9740" max="9740" width="12.33203125" customWidth="1"/>
    <col min="9741" max="9741" width="20.33203125" customWidth="1"/>
    <col min="9742" max="9742" width="15" customWidth="1"/>
    <col min="9743" max="9743" width="13.6640625" customWidth="1"/>
    <col min="9744" max="9744" width="16.33203125" customWidth="1"/>
    <col min="9745" max="9745" width="11.6640625" customWidth="1"/>
    <col min="9750" max="9750" width="9.6640625" bestFit="1" customWidth="1"/>
    <col min="9987" max="9987" width="18.83203125" customWidth="1"/>
    <col min="9988" max="9988" width="28.6640625" customWidth="1"/>
    <col min="9989" max="9989" width="15.5" customWidth="1"/>
    <col min="9990" max="9990" width="17" customWidth="1"/>
    <col min="9991" max="9991" width="18" customWidth="1"/>
    <col min="9992" max="9992" width="16.5" customWidth="1"/>
    <col min="9993" max="9993" width="13.5" customWidth="1"/>
    <col min="9994" max="9994" width="15.6640625" customWidth="1"/>
    <col min="9995" max="9995" width="11.5" customWidth="1"/>
    <col min="9996" max="9996" width="12.33203125" customWidth="1"/>
    <col min="9997" max="9997" width="20.33203125" customWidth="1"/>
    <col min="9998" max="9998" width="15" customWidth="1"/>
    <col min="9999" max="9999" width="13.6640625" customWidth="1"/>
    <col min="10000" max="10000" width="16.33203125" customWidth="1"/>
    <col min="10001" max="10001" width="11.6640625" customWidth="1"/>
    <col min="10006" max="10006" width="9.6640625" bestFit="1" customWidth="1"/>
    <col min="10243" max="10243" width="18.83203125" customWidth="1"/>
    <col min="10244" max="10244" width="28.6640625" customWidth="1"/>
    <col min="10245" max="10245" width="15.5" customWidth="1"/>
    <col min="10246" max="10246" width="17" customWidth="1"/>
    <col min="10247" max="10247" width="18" customWidth="1"/>
    <col min="10248" max="10248" width="16.5" customWidth="1"/>
    <col min="10249" max="10249" width="13.5" customWidth="1"/>
    <col min="10250" max="10250" width="15.6640625" customWidth="1"/>
    <col min="10251" max="10251" width="11.5" customWidth="1"/>
    <col min="10252" max="10252" width="12.33203125" customWidth="1"/>
    <col min="10253" max="10253" width="20.33203125" customWidth="1"/>
    <col min="10254" max="10254" width="15" customWidth="1"/>
    <col min="10255" max="10255" width="13.6640625" customWidth="1"/>
    <col min="10256" max="10256" width="16.33203125" customWidth="1"/>
    <col min="10257" max="10257" width="11.6640625" customWidth="1"/>
    <col min="10262" max="10262" width="9.6640625" bestFit="1" customWidth="1"/>
    <col min="10499" max="10499" width="18.83203125" customWidth="1"/>
    <col min="10500" max="10500" width="28.6640625" customWidth="1"/>
    <col min="10501" max="10501" width="15.5" customWidth="1"/>
    <col min="10502" max="10502" width="17" customWidth="1"/>
    <col min="10503" max="10503" width="18" customWidth="1"/>
    <col min="10504" max="10504" width="16.5" customWidth="1"/>
    <col min="10505" max="10505" width="13.5" customWidth="1"/>
    <col min="10506" max="10506" width="15.6640625" customWidth="1"/>
    <col min="10507" max="10507" width="11.5" customWidth="1"/>
    <col min="10508" max="10508" width="12.33203125" customWidth="1"/>
    <col min="10509" max="10509" width="20.33203125" customWidth="1"/>
    <col min="10510" max="10510" width="15" customWidth="1"/>
    <col min="10511" max="10511" width="13.6640625" customWidth="1"/>
    <col min="10512" max="10512" width="16.33203125" customWidth="1"/>
    <col min="10513" max="10513" width="11.6640625" customWidth="1"/>
    <col min="10518" max="10518" width="9.6640625" bestFit="1" customWidth="1"/>
    <col min="10755" max="10755" width="18.83203125" customWidth="1"/>
    <col min="10756" max="10756" width="28.6640625" customWidth="1"/>
    <col min="10757" max="10757" width="15.5" customWidth="1"/>
    <col min="10758" max="10758" width="17" customWidth="1"/>
    <col min="10759" max="10759" width="18" customWidth="1"/>
    <col min="10760" max="10760" width="16.5" customWidth="1"/>
    <col min="10761" max="10761" width="13.5" customWidth="1"/>
    <col min="10762" max="10762" width="15.6640625" customWidth="1"/>
    <col min="10763" max="10763" width="11.5" customWidth="1"/>
    <col min="10764" max="10764" width="12.33203125" customWidth="1"/>
    <col min="10765" max="10765" width="20.33203125" customWidth="1"/>
    <col min="10766" max="10766" width="15" customWidth="1"/>
    <col min="10767" max="10767" width="13.6640625" customWidth="1"/>
    <col min="10768" max="10768" width="16.33203125" customWidth="1"/>
    <col min="10769" max="10769" width="11.6640625" customWidth="1"/>
    <col min="10774" max="10774" width="9.6640625" bestFit="1" customWidth="1"/>
    <col min="11011" max="11011" width="18.83203125" customWidth="1"/>
    <col min="11012" max="11012" width="28.6640625" customWidth="1"/>
    <col min="11013" max="11013" width="15.5" customWidth="1"/>
    <col min="11014" max="11014" width="17" customWidth="1"/>
    <col min="11015" max="11015" width="18" customWidth="1"/>
    <col min="11016" max="11016" width="16.5" customWidth="1"/>
    <col min="11017" max="11017" width="13.5" customWidth="1"/>
    <col min="11018" max="11018" width="15.6640625" customWidth="1"/>
    <col min="11019" max="11019" width="11.5" customWidth="1"/>
    <col min="11020" max="11020" width="12.33203125" customWidth="1"/>
    <col min="11021" max="11021" width="20.33203125" customWidth="1"/>
    <col min="11022" max="11022" width="15" customWidth="1"/>
    <col min="11023" max="11023" width="13.6640625" customWidth="1"/>
    <col min="11024" max="11024" width="16.33203125" customWidth="1"/>
    <col min="11025" max="11025" width="11.6640625" customWidth="1"/>
    <col min="11030" max="11030" width="9.6640625" bestFit="1" customWidth="1"/>
    <col min="11267" max="11267" width="18.83203125" customWidth="1"/>
    <col min="11268" max="11268" width="28.6640625" customWidth="1"/>
    <col min="11269" max="11269" width="15.5" customWidth="1"/>
    <col min="11270" max="11270" width="17" customWidth="1"/>
    <col min="11271" max="11271" width="18" customWidth="1"/>
    <col min="11272" max="11272" width="16.5" customWidth="1"/>
    <col min="11273" max="11273" width="13.5" customWidth="1"/>
    <col min="11274" max="11274" width="15.6640625" customWidth="1"/>
    <col min="11275" max="11275" width="11.5" customWidth="1"/>
    <col min="11276" max="11276" width="12.33203125" customWidth="1"/>
    <col min="11277" max="11277" width="20.33203125" customWidth="1"/>
    <col min="11278" max="11278" width="15" customWidth="1"/>
    <col min="11279" max="11279" width="13.6640625" customWidth="1"/>
    <col min="11280" max="11280" width="16.33203125" customWidth="1"/>
    <col min="11281" max="11281" width="11.6640625" customWidth="1"/>
    <col min="11286" max="11286" width="9.6640625" bestFit="1" customWidth="1"/>
    <col min="11523" max="11523" width="18.83203125" customWidth="1"/>
    <col min="11524" max="11524" width="28.6640625" customWidth="1"/>
    <col min="11525" max="11525" width="15.5" customWidth="1"/>
    <col min="11526" max="11526" width="17" customWidth="1"/>
    <col min="11527" max="11527" width="18" customWidth="1"/>
    <col min="11528" max="11528" width="16.5" customWidth="1"/>
    <col min="11529" max="11529" width="13.5" customWidth="1"/>
    <col min="11530" max="11530" width="15.6640625" customWidth="1"/>
    <col min="11531" max="11531" width="11.5" customWidth="1"/>
    <col min="11532" max="11532" width="12.33203125" customWidth="1"/>
    <col min="11533" max="11533" width="20.33203125" customWidth="1"/>
    <col min="11534" max="11534" width="15" customWidth="1"/>
    <col min="11535" max="11535" width="13.6640625" customWidth="1"/>
    <col min="11536" max="11536" width="16.33203125" customWidth="1"/>
    <col min="11537" max="11537" width="11.6640625" customWidth="1"/>
    <col min="11542" max="11542" width="9.6640625" bestFit="1" customWidth="1"/>
    <col min="11779" max="11779" width="18.83203125" customWidth="1"/>
    <col min="11780" max="11780" width="28.6640625" customWidth="1"/>
    <col min="11781" max="11781" width="15.5" customWidth="1"/>
    <col min="11782" max="11782" width="17" customWidth="1"/>
    <col min="11783" max="11783" width="18" customWidth="1"/>
    <col min="11784" max="11784" width="16.5" customWidth="1"/>
    <col min="11785" max="11785" width="13.5" customWidth="1"/>
    <col min="11786" max="11786" width="15.6640625" customWidth="1"/>
    <col min="11787" max="11787" width="11.5" customWidth="1"/>
    <col min="11788" max="11788" width="12.33203125" customWidth="1"/>
    <col min="11789" max="11789" width="20.33203125" customWidth="1"/>
    <col min="11790" max="11790" width="15" customWidth="1"/>
    <col min="11791" max="11791" width="13.6640625" customWidth="1"/>
    <col min="11792" max="11792" width="16.33203125" customWidth="1"/>
    <col min="11793" max="11793" width="11.6640625" customWidth="1"/>
    <col min="11798" max="11798" width="9.6640625" bestFit="1" customWidth="1"/>
    <col min="12035" max="12035" width="18.83203125" customWidth="1"/>
    <col min="12036" max="12036" width="28.6640625" customWidth="1"/>
    <col min="12037" max="12037" width="15.5" customWidth="1"/>
    <col min="12038" max="12038" width="17" customWidth="1"/>
    <col min="12039" max="12039" width="18" customWidth="1"/>
    <col min="12040" max="12040" width="16.5" customWidth="1"/>
    <col min="12041" max="12041" width="13.5" customWidth="1"/>
    <col min="12042" max="12042" width="15.6640625" customWidth="1"/>
    <col min="12043" max="12043" width="11.5" customWidth="1"/>
    <col min="12044" max="12044" width="12.33203125" customWidth="1"/>
    <col min="12045" max="12045" width="20.33203125" customWidth="1"/>
    <col min="12046" max="12046" width="15" customWidth="1"/>
    <col min="12047" max="12047" width="13.6640625" customWidth="1"/>
    <col min="12048" max="12048" width="16.33203125" customWidth="1"/>
    <col min="12049" max="12049" width="11.6640625" customWidth="1"/>
    <col min="12054" max="12054" width="9.6640625" bestFit="1" customWidth="1"/>
    <col min="12291" max="12291" width="18.83203125" customWidth="1"/>
    <col min="12292" max="12292" width="28.6640625" customWidth="1"/>
    <col min="12293" max="12293" width="15.5" customWidth="1"/>
    <col min="12294" max="12294" width="17" customWidth="1"/>
    <col min="12295" max="12295" width="18" customWidth="1"/>
    <col min="12296" max="12296" width="16.5" customWidth="1"/>
    <col min="12297" max="12297" width="13.5" customWidth="1"/>
    <col min="12298" max="12298" width="15.6640625" customWidth="1"/>
    <col min="12299" max="12299" width="11.5" customWidth="1"/>
    <col min="12300" max="12300" width="12.33203125" customWidth="1"/>
    <col min="12301" max="12301" width="20.33203125" customWidth="1"/>
    <col min="12302" max="12302" width="15" customWidth="1"/>
    <col min="12303" max="12303" width="13.6640625" customWidth="1"/>
    <col min="12304" max="12304" width="16.33203125" customWidth="1"/>
    <col min="12305" max="12305" width="11.6640625" customWidth="1"/>
    <col min="12310" max="12310" width="9.6640625" bestFit="1" customWidth="1"/>
    <col min="12547" max="12547" width="18.83203125" customWidth="1"/>
    <col min="12548" max="12548" width="28.6640625" customWidth="1"/>
    <col min="12549" max="12549" width="15.5" customWidth="1"/>
    <col min="12550" max="12550" width="17" customWidth="1"/>
    <col min="12551" max="12551" width="18" customWidth="1"/>
    <col min="12552" max="12552" width="16.5" customWidth="1"/>
    <col min="12553" max="12553" width="13.5" customWidth="1"/>
    <col min="12554" max="12554" width="15.6640625" customWidth="1"/>
    <col min="12555" max="12555" width="11.5" customWidth="1"/>
    <col min="12556" max="12556" width="12.33203125" customWidth="1"/>
    <col min="12557" max="12557" width="20.33203125" customWidth="1"/>
    <col min="12558" max="12558" width="15" customWidth="1"/>
    <col min="12559" max="12559" width="13.6640625" customWidth="1"/>
    <col min="12560" max="12560" width="16.33203125" customWidth="1"/>
    <col min="12561" max="12561" width="11.6640625" customWidth="1"/>
    <col min="12566" max="12566" width="9.6640625" bestFit="1" customWidth="1"/>
    <col min="12803" max="12803" width="18.83203125" customWidth="1"/>
    <col min="12804" max="12804" width="28.6640625" customWidth="1"/>
    <col min="12805" max="12805" width="15.5" customWidth="1"/>
    <col min="12806" max="12806" width="17" customWidth="1"/>
    <col min="12807" max="12807" width="18" customWidth="1"/>
    <col min="12808" max="12808" width="16.5" customWidth="1"/>
    <col min="12809" max="12809" width="13.5" customWidth="1"/>
    <col min="12810" max="12810" width="15.6640625" customWidth="1"/>
    <col min="12811" max="12811" width="11.5" customWidth="1"/>
    <col min="12812" max="12812" width="12.33203125" customWidth="1"/>
    <col min="12813" max="12813" width="20.33203125" customWidth="1"/>
    <col min="12814" max="12814" width="15" customWidth="1"/>
    <col min="12815" max="12815" width="13.6640625" customWidth="1"/>
    <col min="12816" max="12816" width="16.33203125" customWidth="1"/>
    <col min="12817" max="12817" width="11.6640625" customWidth="1"/>
    <col min="12822" max="12822" width="9.6640625" bestFit="1" customWidth="1"/>
    <col min="13059" max="13059" width="18.83203125" customWidth="1"/>
    <col min="13060" max="13060" width="28.6640625" customWidth="1"/>
    <col min="13061" max="13061" width="15.5" customWidth="1"/>
    <col min="13062" max="13062" width="17" customWidth="1"/>
    <col min="13063" max="13063" width="18" customWidth="1"/>
    <col min="13064" max="13064" width="16.5" customWidth="1"/>
    <col min="13065" max="13065" width="13.5" customWidth="1"/>
    <col min="13066" max="13066" width="15.6640625" customWidth="1"/>
    <col min="13067" max="13067" width="11.5" customWidth="1"/>
    <col min="13068" max="13068" width="12.33203125" customWidth="1"/>
    <col min="13069" max="13069" width="20.33203125" customWidth="1"/>
    <col min="13070" max="13070" width="15" customWidth="1"/>
    <col min="13071" max="13071" width="13.6640625" customWidth="1"/>
    <col min="13072" max="13072" width="16.33203125" customWidth="1"/>
    <col min="13073" max="13073" width="11.6640625" customWidth="1"/>
    <col min="13078" max="13078" width="9.6640625" bestFit="1" customWidth="1"/>
    <col min="13315" max="13315" width="18.83203125" customWidth="1"/>
    <col min="13316" max="13316" width="28.6640625" customWidth="1"/>
    <col min="13317" max="13317" width="15.5" customWidth="1"/>
    <col min="13318" max="13318" width="17" customWidth="1"/>
    <col min="13319" max="13319" width="18" customWidth="1"/>
    <col min="13320" max="13320" width="16.5" customWidth="1"/>
    <col min="13321" max="13321" width="13.5" customWidth="1"/>
    <col min="13322" max="13322" width="15.6640625" customWidth="1"/>
    <col min="13323" max="13323" width="11.5" customWidth="1"/>
    <col min="13324" max="13324" width="12.33203125" customWidth="1"/>
    <col min="13325" max="13325" width="20.33203125" customWidth="1"/>
    <col min="13326" max="13326" width="15" customWidth="1"/>
    <col min="13327" max="13327" width="13.6640625" customWidth="1"/>
    <col min="13328" max="13328" width="16.33203125" customWidth="1"/>
    <col min="13329" max="13329" width="11.6640625" customWidth="1"/>
    <col min="13334" max="13334" width="9.6640625" bestFit="1" customWidth="1"/>
    <col min="13571" max="13571" width="18.83203125" customWidth="1"/>
    <col min="13572" max="13572" width="28.6640625" customWidth="1"/>
    <col min="13573" max="13573" width="15.5" customWidth="1"/>
    <col min="13574" max="13574" width="17" customWidth="1"/>
    <col min="13575" max="13575" width="18" customWidth="1"/>
    <col min="13576" max="13576" width="16.5" customWidth="1"/>
    <col min="13577" max="13577" width="13.5" customWidth="1"/>
    <col min="13578" max="13578" width="15.6640625" customWidth="1"/>
    <col min="13579" max="13579" width="11.5" customWidth="1"/>
    <col min="13580" max="13580" width="12.33203125" customWidth="1"/>
    <col min="13581" max="13581" width="20.33203125" customWidth="1"/>
    <col min="13582" max="13582" width="15" customWidth="1"/>
    <col min="13583" max="13583" width="13.6640625" customWidth="1"/>
    <col min="13584" max="13584" width="16.33203125" customWidth="1"/>
    <col min="13585" max="13585" width="11.6640625" customWidth="1"/>
    <col min="13590" max="13590" width="9.6640625" bestFit="1" customWidth="1"/>
    <col min="13827" max="13827" width="18.83203125" customWidth="1"/>
    <col min="13828" max="13828" width="28.6640625" customWidth="1"/>
    <col min="13829" max="13829" width="15.5" customWidth="1"/>
    <col min="13830" max="13830" width="17" customWidth="1"/>
    <col min="13831" max="13831" width="18" customWidth="1"/>
    <col min="13832" max="13832" width="16.5" customWidth="1"/>
    <col min="13833" max="13833" width="13.5" customWidth="1"/>
    <col min="13834" max="13834" width="15.6640625" customWidth="1"/>
    <col min="13835" max="13835" width="11.5" customWidth="1"/>
    <col min="13836" max="13836" width="12.33203125" customWidth="1"/>
    <col min="13837" max="13837" width="20.33203125" customWidth="1"/>
    <col min="13838" max="13838" width="15" customWidth="1"/>
    <col min="13839" max="13839" width="13.6640625" customWidth="1"/>
    <col min="13840" max="13840" width="16.33203125" customWidth="1"/>
    <col min="13841" max="13841" width="11.6640625" customWidth="1"/>
    <col min="13846" max="13846" width="9.6640625" bestFit="1" customWidth="1"/>
    <col min="14083" max="14083" width="18.83203125" customWidth="1"/>
    <col min="14084" max="14084" width="28.6640625" customWidth="1"/>
    <col min="14085" max="14085" width="15.5" customWidth="1"/>
    <col min="14086" max="14086" width="17" customWidth="1"/>
    <col min="14087" max="14087" width="18" customWidth="1"/>
    <col min="14088" max="14088" width="16.5" customWidth="1"/>
    <col min="14089" max="14089" width="13.5" customWidth="1"/>
    <col min="14090" max="14090" width="15.6640625" customWidth="1"/>
    <col min="14091" max="14091" width="11.5" customWidth="1"/>
    <col min="14092" max="14092" width="12.33203125" customWidth="1"/>
    <col min="14093" max="14093" width="20.33203125" customWidth="1"/>
    <col min="14094" max="14094" width="15" customWidth="1"/>
    <col min="14095" max="14095" width="13.6640625" customWidth="1"/>
    <col min="14096" max="14096" width="16.33203125" customWidth="1"/>
    <col min="14097" max="14097" width="11.6640625" customWidth="1"/>
    <col min="14102" max="14102" width="9.6640625" bestFit="1" customWidth="1"/>
    <col min="14339" max="14339" width="18.83203125" customWidth="1"/>
    <col min="14340" max="14340" width="28.6640625" customWidth="1"/>
    <col min="14341" max="14341" width="15.5" customWidth="1"/>
    <col min="14342" max="14342" width="17" customWidth="1"/>
    <col min="14343" max="14343" width="18" customWidth="1"/>
    <col min="14344" max="14344" width="16.5" customWidth="1"/>
    <col min="14345" max="14345" width="13.5" customWidth="1"/>
    <col min="14346" max="14346" width="15.6640625" customWidth="1"/>
    <col min="14347" max="14347" width="11.5" customWidth="1"/>
    <col min="14348" max="14348" width="12.33203125" customWidth="1"/>
    <col min="14349" max="14349" width="20.33203125" customWidth="1"/>
    <col min="14350" max="14350" width="15" customWidth="1"/>
    <col min="14351" max="14351" width="13.6640625" customWidth="1"/>
    <col min="14352" max="14352" width="16.33203125" customWidth="1"/>
    <col min="14353" max="14353" width="11.6640625" customWidth="1"/>
    <col min="14358" max="14358" width="9.6640625" bestFit="1" customWidth="1"/>
    <col min="14595" max="14595" width="18.83203125" customWidth="1"/>
    <col min="14596" max="14596" width="28.6640625" customWidth="1"/>
    <col min="14597" max="14597" width="15.5" customWidth="1"/>
    <col min="14598" max="14598" width="17" customWidth="1"/>
    <col min="14599" max="14599" width="18" customWidth="1"/>
    <col min="14600" max="14600" width="16.5" customWidth="1"/>
    <col min="14601" max="14601" width="13.5" customWidth="1"/>
    <col min="14602" max="14602" width="15.6640625" customWidth="1"/>
    <col min="14603" max="14603" width="11.5" customWidth="1"/>
    <col min="14604" max="14604" width="12.33203125" customWidth="1"/>
    <col min="14605" max="14605" width="20.33203125" customWidth="1"/>
    <col min="14606" max="14606" width="15" customWidth="1"/>
    <col min="14607" max="14607" width="13.6640625" customWidth="1"/>
    <col min="14608" max="14608" width="16.33203125" customWidth="1"/>
    <col min="14609" max="14609" width="11.6640625" customWidth="1"/>
    <col min="14614" max="14614" width="9.6640625" bestFit="1" customWidth="1"/>
    <col min="14851" max="14851" width="18.83203125" customWidth="1"/>
    <col min="14852" max="14852" width="28.6640625" customWidth="1"/>
    <col min="14853" max="14853" width="15.5" customWidth="1"/>
    <col min="14854" max="14854" width="17" customWidth="1"/>
    <col min="14855" max="14855" width="18" customWidth="1"/>
    <col min="14856" max="14856" width="16.5" customWidth="1"/>
    <col min="14857" max="14857" width="13.5" customWidth="1"/>
    <col min="14858" max="14858" width="15.6640625" customWidth="1"/>
    <col min="14859" max="14859" width="11.5" customWidth="1"/>
    <col min="14860" max="14860" width="12.33203125" customWidth="1"/>
    <col min="14861" max="14861" width="20.33203125" customWidth="1"/>
    <col min="14862" max="14862" width="15" customWidth="1"/>
    <col min="14863" max="14863" width="13.6640625" customWidth="1"/>
    <col min="14864" max="14864" width="16.33203125" customWidth="1"/>
    <col min="14865" max="14865" width="11.6640625" customWidth="1"/>
    <col min="14870" max="14870" width="9.6640625" bestFit="1" customWidth="1"/>
    <col min="15107" max="15107" width="18.83203125" customWidth="1"/>
    <col min="15108" max="15108" width="28.6640625" customWidth="1"/>
    <col min="15109" max="15109" width="15.5" customWidth="1"/>
    <col min="15110" max="15110" width="17" customWidth="1"/>
    <col min="15111" max="15111" width="18" customWidth="1"/>
    <col min="15112" max="15112" width="16.5" customWidth="1"/>
    <col min="15113" max="15113" width="13.5" customWidth="1"/>
    <col min="15114" max="15114" width="15.6640625" customWidth="1"/>
    <col min="15115" max="15115" width="11.5" customWidth="1"/>
    <col min="15116" max="15116" width="12.33203125" customWidth="1"/>
    <col min="15117" max="15117" width="20.33203125" customWidth="1"/>
    <col min="15118" max="15118" width="15" customWidth="1"/>
    <col min="15119" max="15119" width="13.6640625" customWidth="1"/>
    <col min="15120" max="15120" width="16.33203125" customWidth="1"/>
    <col min="15121" max="15121" width="11.6640625" customWidth="1"/>
    <col min="15126" max="15126" width="9.6640625" bestFit="1" customWidth="1"/>
    <col min="15363" max="15363" width="18.83203125" customWidth="1"/>
    <col min="15364" max="15364" width="28.6640625" customWidth="1"/>
    <col min="15365" max="15365" width="15.5" customWidth="1"/>
    <col min="15366" max="15366" width="17" customWidth="1"/>
    <col min="15367" max="15367" width="18" customWidth="1"/>
    <col min="15368" max="15368" width="16.5" customWidth="1"/>
    <col min="15369" max="15369" width="13.5" customWidth="1"/>
    <col min="15370" max="15370" width="15.6640625" customWidth="1"/>
    <col min="15371" max="15371" width="11.5" customWidth="1"/>
    <col min="15372" max="15372" width="12.33203125" customWidth="1"/>
    <col min="15373" max="15373" width="20.33203125" customWidth="1"/>
    <col min="15374" max="15374" width="15" customWidth="1"/>
    <col min="15375" max="15375" width="13.6640625" customWidth="1"/>
    <col min="15376" max="15376" width="16.33203125" customWidth="1"/>
    <col min="15377" max="15377" width="11.6640625" customWidth="1"/>
    <col min="15382" max="15382" width="9.6640625" bestFit="1" customWidth="1"/>
    <col min="15619" max="15619" width="18.83203125" customWidth="1"/>
    <col min="15620" max="15620" width="28.6640625" customWidth="1"/>
    <col min="15621" max="15621" width="15.5" customWidth="1"/>
    <col min="15622" max="15622" width="17" customWidth="1"/>
    <col min="15623" max="15623" width="18" customWidth="1"/>
    <col min="15624" max="15624" width="16.5" customWidth="1"/>
    <col min="15625" max="15625" width="13.5" customWidth="1"/>
    <col min="15626" max="15626" width="15.6640625" customWidth="1"/>
    <col min="15627" max="15627" width="11.5" customWidth="1"/>
    <col min="15628" max="15628" width="12.33203125" customWidth="1"/>
    <col min="15629" max="15629" width="20.33203125" customWidth="1"/>
    <col min="15630" max="15630" width="15" customWidth="1"/>
    <col min="15631" max="15631" width="13.6640625" customWidth="1"/>
    <col min="15632" max="15632" width="16.33203125" customWidth="1"/>
    <col min="15633" max="15633" width="11.6640625" customWidth="1"/>
    <col min="15638" max="15638" width="9.6640625" bestFit="1" customWidth="1"/>
    <col min="15875" max="15875" width="18.83203125" customWidth="1"/>
    <col min="15876" max="15876" width="28.6640625" customWidth="1"/>
    <col min="15877" max="15877" width="15.5" customWidth="1"/>
    <col min="15878" max="15878" width="17" customWidth="1"/>
    <col min="15879" max="15879" width="18" customWidth="1"/>
    <col min="15880" max="15880" width="16.5" customWidth="1"/>
    <col min="15881" max="15881" width="13.5" customWidth="1"/>
    <col min="15882" max="15882" width="15.6640625" customWidth="1"/>
    <col min="15883" max="15883" width="11.5" customWidth="1"/>
    <col min="15884" max="15884" width="12.33203125" customWidth="1"/>
    <col min="15885" max="15885" width="20.33203125" customWidth="1"/>
    <col min="15886" max="15886" width="15" customWidth="1"/>
    <col min="15887" max="15887" width="13.6640625" customWidth="1"/>
    <col min="15888" max="15888" width="16.33203125" customWidth="1"/>
    <col min="15889" max="15889" width="11.6640625" customWidth="1"/>
    <col min="15894" max="15894" width="9.6640625" bestFit="1" customWidth="1"/>
    <col min="16131" max="16131" width="18.83203125" customWidth="1"/>
    <col min="16132" max="16132" width="28.6640625" customWidth="1"/>
    <col min="16133" max="16133" width="15.5" customWidth="1"/>
    <col min="16134" max="16134" width="17" customWidth="1"/>
    <col min="16135" max="16135" width="18" customWidth="1"/>
    <col min="16136" max="16136" width="16.5" customWidth="1"/>
    <col min="16137" max="16137" width="13.5" customWidth="1"/>
    <col min="16138" max="16138" width="15.6640625" customWidth="1"/>
    <col min="16139" max="16139" width="11.5" customWidth="1"/>
    <col min="16140" max="16140" width="12.33203125" customWidth="1"/>
    <col min="16141" max="16141" width="20.33203125" customWidth="1"/>
    <col min="16142" max="16142" width="15" customWidth="1"/>
    <col min="16143" max="16143" width="13.6640625" customWidth="1"/>
    <col min="16144" max="16144" width="16.33203125" customWidth="1"/>
    <col min="16145" max="16145" width="11.6640625" customWidth="1"/>
    <col min="16150" max="16150" width="9.6640625" bestFit="1" customWidth="1"/>
  </cols>
  <sheetData>
    <row r="2" spans="3:19" ht="16" thickBot="1" x14ac:dyDescent="0.25"/>
    <row r="3" spans="3:19" x14ac:dyDescent="0.2">
      <c r="C3" s="52"/>
      <c r="D3" s="53"/>
      <c r="E3" s="53"/>
      <c r="F3" s="53"/>
      <c r="G3" s="53"/>
      <c r="H3" s="53"/>
      <c r="I3" s="53"/>
      <c r="J3" s="53"/>
      <c r="K3" s="53"/>
      <c r="L3" s="53"/>
      <c r="M3" s="53"/>
      <c r="N3" s="53"/>
      <c r="O3" s="53"/>
      <c r="P3" s="53"/>
      <c r="Q3" s="54"/>
    </row>
    <row r="4" spans="3:19" x14ac:dyDescent="0.2">
      <c r="C4" s="55"/>
      <c r="D4" s="56" t="s">
        <v>224</v>
      </c>
      <c r="M4" s="56" t="s">
        <v>225</v>
      </c>
      <c r="P4" s="63"/>
      <c r="Q4" s="57"/>
    </row>
    <row r="5" spans="3:19" x14ac:dyDescent="0.2">
      <c r="C5" s="55"/>
      <c r="P5" s="63"/>
      <c r="Q5" s="57"/>
    </row>
    <row r="6" spans="3:19" x14ac:dyDescent="0.2">
      <c r="C6" s="55"/>
      <c r="P6" s="63"/>
      <c r="Q6" s="57"/>
    </row>
    <row r="7" spans="3:19" x14ac:dyDescent="0.2">
      <c r="C7" s="55"/>
      <c r="D7" s="56" t="s">
        <v>226</v>
      </c>
      <c r="G7" s="58" t="s">
        <v>227</v>
      </c>
      <c r="H7" s="59" t="s">
        <v>228</v>
      </c>
      <c r="I7" s="59" t="s">
        <v>229</v>
      </c>
      <c r="M7" s="58" t="s">
        <v>227</v>
      </c>
      <c r="N7" s="59" t="s">
        <v>228</v>
      </c>
      <c r="O7" s="59" t="s">
        <v>229</v>
      </c>
      <c r="P7" s="63"/>
      <c r="Q7" s="57"/>
    </row>
    <row r="8" spans="3:19" x14ac:dyDescent="0.2">
      <c r="C8" s="55"/>
      <c r="D8" s="60">
        <f>+'Asset Information'!C14</f>
        <v>0</v>
      </c>
      <c r="E8" s="60" t="e">
        <f>VLOOKUP(D8,'v6 benchmarks'!$S$4:$X$733,2,FALSE)</f>
        <v>#N/A</v>
      </c>
      <c r="F8" s="60" t="e">
        <f>(E$8*10)-9</f>
        <v>#N/A</v>
      </c>
      <c r="G8" s="61" t="s">
        <v>230</v>
      </c>
      <c r="H8" s="66" t="e">
        <f>VLOOKUP(F8,'v6 benchmarks'!$U$4:$Y$733,3,FALSE)</f>
        <v>#N/A</v>
      </c>
      <c r="I8" s="66" t="e">
        <f>VLOOKUP(F8,'v6 benchmarks'!$U$4:$Y$733,4,FALSE)</f>
        <v>#N/A</v>
      </c>
      <c r="M8" s="61" t="s">
        <v>230</v>
      </c>
      <c r="N8" s="66" t="e">
        <f>VLOOKUP('Asset Information'!$C$13,'v6 picksheet'!$I$5:$K$189,2,FALSE)/'v6 picksheet'!$J$180*H8*0.8+0.2*H8</f>
        <v>#N/A</v>
      </c>
      <c r="O8" s="66" t="e">
        <f>VLOOKUP('Asset Information'!$C$13,'v6 picksheet'!$I$5:$K$189,2,FALSE)/'v6 picksheet'!$J$180*I8*0.8+0.2*I8</f>
        <v>#N/A</v>
      </c>
      <c r="P8" s="63"/>
      <c r="Q8" s="57"/>
      <c r="R8" s="63"/>
      <c r="S8" s="63"/>
    </row>
    <row r="9" spans="3:19" x14ac:dyDescent="0.2">
      <c r="C9" s="55"/>
      <c r="F9" s="60" t="e">
        <f>(E$8*10)-8</f>
        <v>#N/A</v>
      </c>
      <c r="G9" s="65" t="s">
        <v>231</v>
      </c>
      <c r="H9" s="66" t="e">
        <f>VLOOKUP(F9,'v6 benchmarks'!$U$4:$Y$733,3,FALSE)</f>
        <v>#N/A</v>
      </c>
      <c r="I9" s="66" t="e">
        <f>VLOOKUP(F9,'v6 benchmarks'!$U$4:$Y$733,4,FALSE)</f>
        <v>#N/A</v>
      </c>
      <c r="M9" s="65" t="s">
        <v>231</v>
      </c>
      <c r="N9" s="66" t="e">
        <f>IF(H8=0,0,+N8/H8*H9)</f>
        <v>#N/A</v>
      </c>
      <c r="O9" s="66" t="e">
        <f>IF(I8=0,0,+O8/I8*I9)</f>
        <v>#N/A</v>
      </c>
      <c r="P9" s="63"/>
      <c r="Q9" s="57"/>
      <c r="R9" s="63"/>
      <c r="S9" s="66"/>
    </row>
    <row r="10" spans="3:19" x14ac:dyDescent="0.2">
      <c r="C10" s="55"/>
      <c r="F10" s="60" t="e">
        <f>(E$8*10)-7</f>
        <v>#N/A</v>
      </c>
      <c r="G10" s="65" t="s">
        <v>232</v>
      </c>
      <c r="H10" s="66" t="e">
        <f>VLOOKUP(F10,'v6 benchmarks'!$U$4:$Y$733,3,FALSE)</f>
        <v>#N/A</v>
      </c>
      <c r="I10" s="66" t="e">
        <f>VLOOKUP(F10,'v6 benchmarks'!$U$4:$Y$733,4,FALSE)</f>
        <v>#N/A</v>
      </c>
      <c r="M10" s="65" t="s">
        <v>232</v>
      </c>
      <c r="N10" s="66" t="e">
        <f>VLOOKUP('Asset Information'!$C$13,'v6 picksheet'!$I$5:$K$189,3,FALSE)/'v6 picksheet'!$K$180*H10*0.2+0.8*H10</f>
        <v>#N/A</v>
      </c>
      <c r="O10" s="66" t="e">
        <f>VLOOKUP('Asset Information'!$C$13,'v6 picksheet'!$I$5:$K$189,3,FALSE)/'v6 picksheet'!$K$180*I10*0.2+0.8*I10</f>
        <v>#N/A</v>
      </c>
      <c r="P10" s="63"/>
      <c r="Q10" s="57"/>
      <c r="R10" s="63"/>
      <c r="S10" s="66"/>
    </row>
    <row r="11" spans="3:19" x14ac:dyDescent="0.2">
      <c r="C11" s="55"/>
      <c r="F11" s="60" t="e">
        <f>(E$8*10)-6</f>
        <v>#N/A</v>
      </c>
      <c r="G11" s="65" t="s">
        <v>233</v>
      </c>
      <c r="H11" s="66" t="e">
        <f>VLOOKUP(F11,'v6 benchmarks'!$U$4:$Y$733,3,FALSE)</f>
        <v>#N/A</v>
      </c>
      <c r="I11" s="66" t="e">
        <f>VLOOKUP(F11,'v6 benchmarks'!$U$4:$Y$733,4,FALSE)</f>
        <v>#N/A</v>
      </c>
      <c r="M11" s="65" t="s">
        <v>233</v>
      </c>
      <c r="N11" s="66" t="e">
        <f>IF(H10=0,0,+N10/H10*H11)</f>
        <v>#N/A</v>
      </c>
      <c r="O11" s="66" t="e">
        <f>IF(I10=0,0,+O10/I10*I11)</f>
        <v>#N/A</v>
      </c>
      <c r="P11" s="63"/>
      <c r="Q11" s="57"/>
      <c r="R11" s="63"/>
      <c r="S11" s="66"/>
    </row>
    <row r="12" spans="3:19" x14ac:dyDescent="0.2">
      <c r="C12" s="55"/>
      <c r="F12" s="60" t="e">
        <f>(E$8*10)-5</f>
        <v>#N/A</v>
      </c>
      <c r="G12" s="65" t="s">
        <v>234</v>
      </c>
      <c r="H12" s="66" t="e">
        <f>VLOOKUP(F12,'v6 benchmarks'!$U$4:$Y$733,3,FALSE)</f>
        <v>#N/A</v>
      </c>
      <c r="I12" s="66" t="e">
        <f>VLOOKUP(F12,'v6 benchmarks'!$U$4:$Y$733,4,FALSE)</f>
        <v>#N/A</v>
      </c>
      <c r="M12" s="65" t="s">
        <v>234</v>
      </c>
      <c r="N12" s="66" t="e">
        <f t="shared" ref="N12:O16" si="0">H12</f>
        <v>#N/A</v>
      </c>
      <c r="O12" s="66" t="e">
        <f t="shared" si="0"/>
        <v>#N/A</v>
      </c>
      <c r="P12" s="63"/>
      <c r="Q12" s="57"/>
    </row>
    <row r="13" spans="3:19" x14ac:dyDescent="0.2">
      <c r="C13" s="55"/>
      <c r="F13" s="60" t="e">
        <f>(E$8*10)-4</f>
        <v>#N/A</v>
      </c>
      <c r="G13" s="65" t="s">
        <v>235</v>
      </c>
      <c r="H13" s="66" t="e">
        <f>VLOOKUP(F13,'v6 benchmarks'!$U$4:$Y$733,3,FALSE)</f>
        <v>#N/A</v>
      </c>
      <c r="I13" s="66" t="e">
        <f>VLOOKUP(F13,'v6 benchmarks'!$U$4:$Y$733,4,FALSE)</f>
        <v>#N/A</v>
      </c>
      <c r="M13" s="65" t="s">
        <v>235</v>
      </c>
      <c r="N13" s="66" t="e">
        <f t="shared" si="0"/>
        <v>#N/A</v>
      </c>
      <c r="O13" s="66" t="e">
        <f t="shared" si="0"/>
        <v>#N/A</v>
      </c>
      <c r="P13" s="63"/>
      <c r="Q13" s="57"/>
    </row>
    <row r="14" spans="3:19" x14ac:dyDescent="0.2">
      <c r="C14" s="55"/>
      <c r="F14" s="60" t="e">
        <f>(E$8*10)-3</f>
        <v>#N/A</v>
      </c>
      <c r="G14" s="65" t="s">
        <v>236</v>
      </c>
      <c r="H14" s="66" t="e">
        <f>VLOOKUP(F14,'v6 benchmarks'!$U$4:$Y$733,3,FALSE)</f>
        <v>#N/A</v>
      </c>
      <c r="I14" s="66" t="e">
        <f>VLOOKUP(F14,'v6 benchmarks'!$U$4:$Y$733,4,FALSE)</f>
        <v>#N/A</v>
      </c>
      <c r="M14" s="65" t="s">
        <v>236</v>
      </c>
      <c r="N14" s="66" t="e">
        <f t="shared" si="0"/>
        <v>#N/A</v>
      </c>
      <c r="O14" s="66" t="e">
        <f t="shared" si="0"/>
        <v>#N/A</v>
      </c>
      <c r="P14" s="63"/>
      <c r="Q14" s="57"/>
    </row>
    <row r="15" spans="3:19" x14ac:dyDescent="0.2">
      <c r="C15" s="55"/>
      <c r="F15" s="60" t="e">
        <f>(E$8*10)-2</f>
        <v>#N/A</v>
      </c>
      <c r="G15" s="65" t="s">
        <v>237</v>
      </c>
      <c r="H15" s="66" t="e">
        <f>VLOOKUP(F15,'v6 benchmarks'!$U$4:$Y$733,3,FALSE)</f>
        <v>#N/A</v>
      </c>
      <c r="I15" s="66" t="e">
        <f>VLOOKUP(F15,'v6 benchmarks'!$U$4:$Y$733,4,FALSE)</f>
        <v>#N/A</v>
      </c>
      <c r="M15" s="65" t="s">
        <v>237</v>
      </c>
      <c r="N15" s="66" t="e">
        <f t="shared" si="0"/>
        <v>#N/A</v>
      </c>
      <c r="O15" s="66" t="e">
        <f t="shared" si="0"/>
        <v>#N/A</v>
      </c>
      <c r="P15" s="63"/>
      <c r="Q15" s="57"/>
    </row>
    <row r="16" spans="3:19" x14ac:dyDescent="0.2">
      <c r="C16" s="55"/>
      <c r="F16" s="60" t="e">
        <f>(E$8*10)-1</f>
        <v>#N/A</v>
      </c>
      <c r="G16" s="65" t="s">
        <v>238</v>
      </c>
      <c r="H16" s="66" t="e">
        <f>VLOOKUP(F16,'v6 benchmarks'!$U$4:$Y$733,3,FALSE)</f>
        <v>#N/A</v>
      </c>
      <c r="I16" s="66" t="e">
        <f>VLOOKUP(F16,'v6 benchmarks'!$U$4:$Y$733,4,FALSE)</f>
        <v>#N/A</v>
      </c>
      <c r="M16" s="65" t="s">
        <v>238</v>
      </c>
      <c r="N16" s="66" t="e">
        <f t="shared" si="0"/>
        <v>#N/A</v>
      </c>
      <c r="O16" s="66" t="e">
        <f t="shared" si="0"/>
        <v>#N/A</v>
      </c>
      <c r="P16" s="63"/>
      <c r="Q16" s="57"/>
    </row>
    <row r="17" spans="3:17" x14ac:dyDescent="0.2">
      <c r="C17" s="55"/>
      <c r="F17" s="60" t="e">
        <f>(E$8*10)</f>
        <v>#N/A</v>
      </c>
      <c r="G17" s="138" t="s">
        <v>239</v>
      </c>
      <c r="H17" s="139" t="e">
        <f>SUM(H8:H16)</f>
        <v>#N/A</v>
      </c>
      <c r="I17" s="139" t="e">
        <f>SUM(I8:I16)</f>
        <v>#N/A</v>
      </c>
      <c r="M17" s="138" t="s">
        <v>239</v>
      </c>
      <c r="N17" s="139" t="e">
        <f>SUM(N8:N16)</f>
        <v>#N/A</v>
      </c>
      <c r="O17" s="139" t="e">
        <f>SUM(O8:O16)</f>
        <v>#N/A</v>
      </c>
      <c r="P17" s="63"/>
      <c r="Q17" s="57"/>
    </row>
    <row r="18" spans="3:17" x14ac:dyDescent="0.2">
      <c r="C18" s="55"/>
      <c r="F18" s="60"/>
      <c r="G18" s="60"/>
      <c r="H18" s="60"/>
      <c r="I18" s="60"/>
      <c r="N18" s="60"/>
      <c r="O18" s="60"/>
      <c r="P18" s="63"/>
      <c r="Q18" s="57"/>
    </row>
    <row r="19" spans="3:17" x14ac:dyDescent="0.2">
      <c r="C19" s="55"/>
      <c r="D19" s="56" t="s">
        <v>240</v>
      </c>
      <c r="G19" s="58" t="s">
        <v>227</v>
      </c>
      <c r="H19" s="137" t="s">
        <v>228</v>
      </c>
      <c r="I19" s="137" t="s">
        <v>229</v>
      </c>
      <c r="M19" s="58" t="s">
        <v>227</v>
      </c>
      <c r="N19" s="59" t="s">
        <v>228</v>
      </c>
      <c r="O19" s="59" t="s">
        <v>229</v>
      </c>
      <c r="P19" s="63"/>
      <c r="Q19" s="57"/>
    </row>
    <row r="20" spans="3:17" x14ac:dyDescent="0.2">
      <c r="C20" s="55"/>
      <c r="D20" s="60">
        <f>+'Asset Information'!C16</f>
        <v>0</v>
      </c>
      <c r="E20" s="60" t="e">
        <f>VLOOKUP(D20,'v6 benchmarks'!$S$4:$X$733,2,FALSE)</f>
        <v>#N/A</v>
      </c>
      <c r="F20" s="60" t="e">
        <f>(E$20*10)-9</f>
        <v>#N/A</v>
      </c>
      <c r="G20" s="61" t="s">
        <v>230</v>
      </c>
      <c r="H20" s="66" t="e">
        <f>VLOOKUP(F20,'v6 benchmarks'!$U$4:$Y$733,3,FALSE)</f>
        <v>#N/A</v>
      </c>
      <c r="I20" s="66" t="e">
        <f>VLOOKUP(F20,'v6 benchmarks'!$U$4:$Y$733,4,FALSE)</f>
        <v>#N/A</v>
      </c>
      <c r="M20" s="61" t="s">
        <v>230</v>
      </c>
      <c r="N20" s="66" t="e">
        <f>VLOOKUP('Asset Information'!$C$13,'v6 picksheet'!$I$5:$K$189,2,FALSE)/'v6 picksheet'!$J$180*H20*0.8+0.2*H20</f>
        <v>#N/A</v>
      </c>
      <c r="O20" s="66" t="e">
        <f>VLOOKUP('Asset Information'!$C$13,'v6 picksheet'!$I$5:$K$189,2,FALSE)/'v6 picksheet'!$J$180*I20*0.8+0.2*I20</f>
        <v>#N/A</v>
      </c>
      <c r="P20" s="63"/>
      <c r="Q20" s="57"/>
    </row>
    <row r="21" spans="3:17" x14ac:dyDescent="0.2">
      <c r="C21" s="55"/>
      <c r="F21" s="60" t="e">
        <f>(E$20*10)-8</f>
        <v>#N/A</v>
      </c>
      <c r="G21" s="65" t="s">
        <v>231</v>
      </c>
      <c r="H21" s="66" t="e">
        <f>VLOOKUP(F21,'v6 benchmarks'!$U$4:$Y$733,3,FALSE)</f>
        <v>#N/A</v>
      </c>
      <c r="I21" s="66" t="e">
        <f>VLOOKUP(F21,'v6 benchmarks'!$U$4:$Y$733,4,FALSE)</f>
        <v>#N/A</v>
      </c>
      <c r="M21" s="65" t="s">
        <v>231</v>
      </c>
      <c r="N21" s="66" t="e">
        <f>IF(H20=0,0,+N20/H20*H21)</f>
        <v>#N/A</v>
      </c>
      <c r="O21" s="66" t="e">
        <f>IF(I20=0,0,+O20/I20*I21)</f>
        <v>#N/A</v>
      </c>
      <c r="P21" s="63"/>
      <c r="Q21" s="57"/>
    </row>
    <row r="22" spans="3:17" x14ac:dyDescent="0.2">
      <c r="C22" s="55"/>
      <c r="F22" s="60" t="e">
        <f>(E$20*10)-7</f>
        <v>#N/A</v>
      </c>
      <c r="G22" s="65" t="s">
        <v>232</v>
      </c>
      <c r="H22" s="66" t="e">
        <f>VLOOKUP(F22,'v6 benchmarks'!$U$4:$Y$733,3,FALSE)</f>
        <v>#N/A</v>
      </c>
      <c r="I22" s="66" t="e">
        <f>VLOOKUP(F22,'v6 benchmarks'!$U$4:$Y$733,4,FALSE)</f>
        <v>#N/A</v>
      </c>
      <c r="M22" s="65" t="s">
        <v>232</v>
      </c>
      <c r="N22" s="66" t="e">
        <f>VLOOKUP('Asset Information'!$C$13,'v6 picksheet'!$I$5:$K$189,3,FALSE)/'v6 picksheet'!$K$180*H22*0.2+0.8*H22</f>
        <v>#N/A</v>
      </c>
      <c r="O22" s="66" t="e">
        <f>VLOOKUP('Asset Information'!$C$13,'v6 picksheet'!$I$5:$K$189,3,FALSE)/'v6 picksheet'!$K$180*I22*0.2+0.8*I22</f>
        <v>#N/A</v>
      </c>
      <c r="P22" s="63"/>
      <c r="Q22" s="57"/>
    </row>
    <row r="23" spans="3:17" x14ac:dyDescent="0.2">
      <c r="C23" s="55"/>
      <c r="F23" s="60" t="e">
        <f>(E$20*10)-6</f>
        <v>#N/A</v>
      </c>
      <c r="G23" s="65" t="s">
        <v>233</v>
      </c>
      <c r="H23" s="66" t="e">
        <f>VLOOKUP(F23,'v6 benchmarks'!$U$4:$Y$733,3,FALSE)</f>
        <v>#N/A</v>
      </c>
      <c r="I23" s="66" t="e">
        <f>VLOOKUP(F23,'v6 benchmarks'!$U$4:$Y$733,4,FALSE)</f>
        <v>#N/A</v>
      </c>
      <c r="M23" s="65" t="s">
        <v>233</v>
      </c>
      <c r="N23" s="66" t="e">
        <f>IF(H22=0,0,+N22/H22*H23)</f>
        <v>#N/A</v>
      </c>
      <c r="O23" s="66" t="e">
        <f>IF(I22=0,0,+O22/I22*I23)</f>
        <v>#N/A</v>
      </c>
      <c r="P23" s="63"/>
      <c r="Q23" s="57"/>
    </row>
    <row r="24" spans="3:17" x14ac:dyDescent="0.2">
      <c r="C24" s="55"/>
      <c r="F24" s="60" t="e">
        <f>(E$20*10)-5</f>
        <v>#N/A</v>
      </c>
      <c r="G24" s="65" t="s">
        <v>234</v>
      </c>
      <c r="H24" s="66" t="e">
        <f>VLOOKUP(F24,'v6 benchmarks'!$U$4:$Y$733,3,FALSE)</f>
        <v>#N/A</v>
      </c>
      <c r="I24" s="66" t="e">
        <f>VLOOKUP(F24,'v6 benchmarks'!$U$4:$Y$733,4,FALSE)</f>
        <v>#N/A</v>
      </c>
      <c r="M24" s="65" t="s">
        <v>234</v>
      </c>
      <c r="N24" s="66" t="e">
        <f t="shared" ref="N24:O28" si="1">H24</f>
        <v>#N/A</v>
      </c>
      <c r="O24" s="66" t="e">
        <f t="shared" si="1"/>
        <v>#N/A</v>
      </c>
      <c r="P24" s="63"/>
      <c r="Q24" s="57"/>
    </row>
    <row r="25" spans="3:17" x14ac:dyDescent="0.2">
      <c r="C25" s="55"/>
      <c r="F25" s="60" t="e">
        <f>(E$20*10)-4</f>
        <v>#N/A</v>
      </c>
      <c r="G25" s="65" t="s">
        <v>235</v>
      </c>
      <c r="H25" s="66" t="e">
        <f>VLOOKUP(F25,'v6 benchmarks'!$U$4:$Y$733,3,FALSE)</f>
        <v>#N/A</v>
      </c>
      <c r="I25" s="66" t="e">
        <f>VLOOKUP(F25,'v6 benchmarks'!$U$4:$Y$733,4,FALSE)</f>
        <v>#N/A</v>
      </c>
      <c r="M25" s="65" t="s">
        <v>235</v>
      </c>
      <c r="N25" s="66" t="e">
        <f t="shared" si="1"/>
        <v>#N/A</v>
      </c>
      <c r="O25" s="66" t="e">
        <f t="shared" si="1"/>
        <v>#N/A</v>
      </c>
      <c r="P25" s="63"/>
      <c r="Q25" s="57"/>
    </row>
    <row r="26" spans="3:17" x14ac:dyDescent="0.2">
      <c r="C26" s="55"/>
      <c r="F26" s="60" t="e">
        <f>(E$20*10)-3</f>
        <v>#N/A</v>
      </c>
      <c r="G26" s="65" t="s">
        <v>236</v>
      </c>
      <c r="H26" s="66" t="e">
        <f>VLOOKUP(F26,'v6 benchmarks'!$U$4:$Y$733,3,FALSE)</f>
        <v>#N/A</v>
      </c>
      <c r="I26" s="66" t="e">
        <f>VLOOKUP(F26,'v6 benchmarks'!$U$4:$Y$733,4,FALSE)</f>
        <v>#N/A</v>
      </c>
      <c r="M26" s="65" t="s">
        <v>236</v>
      </c>
      <c r="N26" s="66" t="e">
        <f t="shared" si="1"/>
        <v>#N/A</v>
      </c>
      <c r="O26" s="66" t="e">
        <f t="shared" si="1"/>
        <v>#N/A</v>
      </c>
      <c r="P26" s="63"/>
      <c r="Q26" s="57"/>
    </row>
    <row r="27" spans="3:17" x14ac:dyDescent="0.2">
      <c r="C27" s="55"/>
      <c r="F27" s="60" t="e">
        <f>(E$20*10)-2</f>
        <v>#N/A</v>
      </c>
      <c r="G27" s="65" t="s">
        <v>237</v>
      </c>
      <c r="H27" s="66" t="e">
        <f>VLOOKUP(F27,'v6 benchmarks'!$U$4:$Y$733,3,FALSE)</f>
        <v>#N/A</v>
      </c>
      <c r="I27" s="66" t="e">
        <f>VLOOKUP(F27,'v6 benchmarks'!$U$4:$Y$733,4,FALSE)</f>
        <v>#N/A</v>
      </c>
      <c r="M27" s="65" t="s">
        <v>237</v>
      </c>
      <c r="N27" s="66" t="e">
        <f t="shared" si="1"/>
        <v>#N/A</v>
      </c>
      <c r="O27" s="66" t="e">
        <f t="shared" si="1"/>
        <v>#N/A</v>
      </c>
      <c r="P27" s="63"/>
      <c r="Q27" s="57"/>
    </row>
    <row r="28" spans="3:17" x14ac:dyDescent="0.2">
      <c r="C28" s="55"/>
      <c r="F28" s="60" t="e">
        <f>(E$20*10)-1</f>
        <v>#N/A</v>
      </c>
      <c r="G28" s="65" t="s">
        <v>238</v>
      </c>
      <c r="H28" s="66" t="e">
        <f>VLOOKUP(F28,'v6 benchmarks'!$U$4:$Y$733,3,FALSE)</f>
        <v>#N/A</v>
      </c>
      <c r="I28" s="66" t="e">
        <f>VLOOKUP(F28,'v6 benchmarks'!$U$4:$Y$733,4,FALSE)</f>
        <v>#N/A</v>
      </c>
      <c r="M28" s="65" t="s">
        <v>238</v>
      </c>
      <c r="N28" s="66" t="e">
        <f t="shared" si="1"/>
        <v>#N/A</v>
      </c>
      <c r="O28" s="66" t="e">
        <f t="shared" si="1"/>
        <v>#N/A</v>
      </c>
      <c r="P28" s="63"/>
      <c r="Q28" s="57"/>
    </row>
    <row r="29" spans="3:17" x14ac:dyDescent="0.2">
      <c r="C29" s="55"/>
      <c r="F29" s="60" t="e">
        <f>(E$20*10)</f>
        <v>#N/A</v>
      </c>
      <c r="G29" s="138" t="s">
        <v>239</v>
      </c>
      <c r="H29" s="139" t="e">
        <f>SUM(H20:H28)</f>
        <v>#N/A</v>
      </c>
      <c r="I29" s="139" t="e">
        <f>SUM(I20:I28)</f>
        <v>#N/A</v>
      </c>
      <c r="M29" s="138" t="s">
        <v>239</v>
      </c>
      <c r="N29" s="139" t="e">
        <f>SUM(N20:N28)</f>
        <v>#N/A</v>
      </c>
      <c r="O29" s="139" t="e">
        <f>SUM(O20:O28)</f>
        <v>#N/A</v>
      </c>
      <c r="P29" s="63"/>
      <c r="Q29" s="57"/>
    </row>
    <row r="30" spans="3:17" x14ac:dyDescent="0.2">
      <c r="C30" s="55"/>
      <c r="F30" s="60"/>
      <c r="G30" s="60"/>
      <c r="H30" s="60"/>
      <c r="I30" s="60"/>
      <c r="N30" s="60"/>
      <c r="O30" s="60"/>
      <c r="P30" s="63"/>
      <c r="Q30" s="57"/>
    </row>
    <row r="31" spans="3:17" x14ac:dyDescent="0.2">
      <c r="C31" s="55"/>
      <c r="D31" s="56" t="s">
        <v>241</v>
      </c>
      <c r="G31" s="58" t="s">
        <v>227</v>
      </c>
      <c r="H31" s="137" t="s">
        <v>228</v>
      </c>
      <c r="I31" s="137" t="s">
        <v>229</v>
      </c>
      <c r="M31" s="58" t="s">
        <v>227</v>
      </c>
      <c r="N31" s="59" t="s">
        <v>228</v>
      </c>
      <c r="O31" s="59" t="s">
        <v>229</v>
      </c>
      <c r="P31" s="63"/>
      <c r="Q31" s="57"/>
    </row>
    <row r="32" spans="3:17" x14ac:dyDescent="0.2">
      <c r="C32" s="55"/>
      <c r="D32" s="60">
        <f>+'Asset Information'!C18</f>
        <v>0</v>
      </c>
      <c r="E32" s="60" t="e">
        <f>VLOOKUP(D32,'v6 benchmarks'!$S$4:$X$733,2,FALSE)</f>
        <v>#N/A</v>
      </c>
      <c r="F32" s="60" t="e">
        <f>(E$32*10)-9</f>
        <v>#N/A</v>
      </c>
      <c r="G32" s="61" t="s">
        <v>230</v>
      </c>
      <c r="H32" s="66" t="e">
        <f>VLOOKUP(F32,'v6 benchmarks'!$U$4:$Y$733,3,FALSE)</f>
        <v>#N/A</v>
      </c>
      <c r="I32" s="66" t="e">
        <f>VLOOKUP(F32,'v6 benchmarks'!$U$4:$Y$733,4,FALSE)</f>
        <v>#N/A</v>
      </c>
      <c r="M32" s="61" t="s">
        <v>230</v>
      </c>
      <c r="N32" s="66" t="e">
        <f>VLOOKUP('Asset Information'!$C$13,'v6 picksheet'!$I$5:$K$189,2,FALSE)/'v6 picksheet'!$J$180*H32*0.8+0.2*H32</f>
        <v>#N/A</v>
      </c>
      <c r="O32" s="66" t="e">
        <f>VLOOKUP('Asset Information'!$C$13,'v6 picksheet'!$I$5:$K$189,2,FALSE)/'v6 picksheet'!$J$180*I32*0.8+0.2*I32</f>
        <v>#N/A</v>
      </c>
      <c r="P32" s="63"/>
      <c r="Q32" s="57"/>
    </row>
    <row r="33" spans="3:17" x14ac:dyDescent="0.2">
      <c r="C33" s="55"/>
      <c r="E33" s="60"/>
      <c r="F33" s="60" t="e">
        <f>(E$32*10)-8</f>
        <v>#N/A</v>
      </c>
      <c r="G33" s="65" t="s">
        <v>231</v>
      </c>
      <c r="H33" s="66" t="e">
        <f>VLOOKUP(F33,'v6 benchmarks'!$U$4:$Y$733,3,FALSE)</f>
        <v>#N/A</v>
      </c>
      <c r="I33" s="66" t="e">
        <f>VLOOKUP(F33,'v6 benchmarks'!$U$4:$Y$733,4,FALSE)</f>
        <v>#N/A</v>
      </c>
      <c r="M33" s="65" t="s">
        <v>231</v>
      </c>
      <c r="N33" s="66" t="e">
        <f>IF(H32=0,0,+N32/H32*H33)</f>
        <v>#N/A</v>
      </c>
      <c r="O33" s="66" t="e">
        <f>IF(I32=0,0,+O32/I32*I33)</f>
        <v>#N/A</v>
      </c>
      <c r="P33" s="63"/>
      <c r="Q33" s="57"/>
    </row>
    <row r="34" spans="3:17" x14ac:dyDescent="0.2">
      <c r="C34" s="55"/>
      <c r="E34" s="60"/>
      <c r="F34" s="60" t="e">
        <f>(E$32*10)-7</f>
        <v>#N/A</v>
      </c>
      <c r="G34" s="65" t="s">
        <v>232</v>
      </c>
      <c r="H34" s="66" t="e">
        <f>VLOOKUP(F34,'v6 benchmarks'!$U$4:$Y$733,3,FALSE)</f>
        <v>#N/A</v>
      </c>
      <c r="I34" s="66" t="e">
        <f>VLOOKUP(F34,'v6 benchmarks'!$U$4:$Y$733,4,FALSE)</f>
        <v>#N/A</v>
      </c>
      <c r="M34" s="65" t="s">
        <v>232</v>
      </c>
      <c r="N34" s="66" t="e">
        <f>VLOOKUP('Asset Information'!$C$13,'v6 picksheet'!$I$5:$K$189,3,FALSE)/'v6 picksheet'!$K$180*H34*0.2+0.8*H34</f>
        <v>#N/A</v>
      </c>
      <c r="O34" s="66" t="e">
        <f>VLOOKUP('Asset Information'!$C$13,'v6 picksheet'!$I$5:$K$189,3,FALSE)/'v6 picksheet'!$K$180*I34*0.2+0.8*I34</f>
        <v>#N/A</v>
      </c>
      <c r="P34" s="63"/>
      <c r="Q34" s="57"/>
    </row>
    <row r="35" spans="3:17" x14ac:dyDescent="0.2">
      <c r="C35" s="55"/>
      <c r="E35" s="60"/>
      <c r="F35" s="60" t="e">
        <f>(E$32*10)-6</f>
        <v>#N/A</v>
      </c>
      <c r="G35" s="65" t="s">
        <v>233</v>
      </c>
      <c r="H35" s="66" t="e">
        <f>VLOOKUP(F35,'v6 benchmarks'!$U$4:$Y$733,3,FALSE)</f>
        <v>#N/A</v>
      </c>
      <c r="I35" s="66" t="e">
        <f>VLOOKUP(F35,'v6 benchmarks'!$U$4:$Y$733,4,FALSE)</f>
        <v>#N/A</v>
      </c>
      <c r="M35" s="65" t="s">
        <v>233</v>
      </c>
      <c r="N35" s="66" t="e">
        <f>IF(H34=0,0,+N34/H34*H35)</f>
        <v>#N/A</v>
      </c>
      <c r="O35" s="66" t="e">
        <f>IF(I34=0,0,+O34/I34*I35)</f>
        <v>#N/A</v>
      </c>
      <c r="P35" s="63"/>
      <c r="Q35" s="57"/>
    </row>
    <row r="36" spans="3:17" x14ac:dyDescent="0.2">
      <c r="C36" s="55"/>
      <c r="E36" s="60"/>
      <c r="F36" s="60" t="e">
        <f>(E$32*10)-5</f>
        <v>#N/A</v>
      </c>
      <c r="G36" s="65" t="s">
        <v>234</v>
      </c>
      <c r="H36" s="66" t="e">
        <f>VLOOKUP(F36,'v6 benchmarks'!$U$4:$Y$733,3,FALSE)</f>
        <v>#N/A</v>
      </c>
      <c r="I36" s="66" t="e">
        <f>VLOOKUP(F36,'v6 benchmarks'!$U$4:$Y$733,4,FALSE)</f>
        <v>#N/A</v>
      </c>
      <c r="M36" s="65" t="s">
        <v>234</v>
      </c>
      <c r="N36" s="66" t="e">
        <f t="shared" ref="N36:O40" si="2">H36</f>
        <v>#N/A</v>
      </c>
      <c r="O36" s="66" t="e">
        <f t="shared" si="2"/>
        <v>#N/A</v>
      </c>
      <c r="P36" s="63"/>
      <c r="Q36" s="57"/>
    </row>
    <row r="37" spans="3:17" x14ac:dyDescent="0.2">
      <c r="C37" s="55"/>
      <c r="E37" s="60"/>
      <c r="F37" s="60" t="e">
        <f>(E$32*10)-4</f>
        <v>#N/A</v>
      </c>
      <c r="G37" s="65" t="s">
        <v>235</v>
      </c>
      <c r="H37" s="66" t="e">
        <f>VLOOKUP(F37,'v6 benchmarks'!$U$4:$Y$733,3,FALSE)</f>
        <v>#N/A</v>
      </c>
      <c r="I37" s="66" t="e">
        <f>VLOOKUP(F37,'v6 benchmarks'!$U$4:$Y$733,4,FALSE)</f>
        <v>#N/A</v>
      </c>
      <c r="M37" s="65" t="s">
        <v>235</v>
      </c>
      <c r="N37" s="66" t="e">
        <f t="shared" si="2"/>
        <v>#N/A</v>
      </c>
      <c r="O37" s="66" t="e">
        <f t="shared" si="2"/>
        <v>#N/A</v>
      </c>
      <c r="P37" s="63"/>
      <c r="Q37" s="57"/>
    </row>
    <row r="38" spans="3:17" x14ac:dyDescent="0.2">
      <c r="C38" s="55"/>
      <c r="E38" s="60"/>
      <c r="F38" s="60" t="e">
        <f>(E$32*10)-3</f>
        <v>#N/A</v>
      </c>
      <c r="G38" s="65" t="s">
        <v>236</v>
      </c>
      <c r="H38" s="66" t="e">
        <f>VLOOKUP(F38,'v6 benchmarks'!$U$4:$Y$733,3,FALSE)</f>
        <v>#N/A</v>
      </c>
      <c r="I38" s="66" t="e">
        <f>VLOOKUP(F38,'v6 benchmarks'!$U$4:$Y$733,4,FALSE)</f>
        <v>#N/A</v>
      </c>
      <c r="M38" s="65" t="s">
        <v>236</v>
      </c>
      <c r="N38" s="66" t="e">
        <f t="shared" si="2"/>
        <v>#N/A</v>
      </c>
      <c r="O38" s="66" t="e">
        <f t="shared" si="2"/>
        <v>#N/A</v>
      </c>
      <c r="P38" s="63"/>
      <c r="Q38" s="57"/>
    </row>
    <row r="39" spans="3:17" x14ac:dyDescent="0.2">
      <c r="C39" s="55"/>
      <c r="E39" s="60"/>
      <c r="F39" s="60" t="e">
        <f>(E$32*10)-2</f>
        <v>#N/A</v>
      </c>
      <c r="G39" s="65" t="s">
        <v>237</v>
      </c>
      <c r="H39" s="66" t="e">
        <f>VLOOKUP(F39,'v6 benchmarks'!$U$4:$Y$733,3,FALSE)</f>
        <v>#N/A</v>
      </c>
      <c r="I39" s="66" t="e">
        <f>VLOOKUP(F39,'v6 benchmarks'!$U$4:$Y$733,4,FALSE)</f>
        <v>#N/A</v>
      </c>
      <c r="M39" s="65" t="s">
        <v>237</v>
      </c>
      <c r="N39" s="66" t="e">
        <f t="shared" si="2"/>
        <v>#N/A</v>
      </c>
      <c r="O39" s="66" t="e">
        <f t="shared" si="2"/>
        <v>#N/A</v>
      </c>
      <c r="P39" s="63"/>
      <c r="Q39" s="57"/>
    </row>
    <row r="40" spans="3:17" x14ac:dyDescent="0.2">
      <c r="C40" s="55"/>
      <c r="E40" s="60"/>
      <c r="F40" s="60" t="e">
        <f>(E$32*10)-1</f>
        <v>#N/A</v>
      </c>
      <c r="G40" s="65" t="s">
        <v>238</v>
      </c>
      <c r="H40" s="66" t="e">
        <f>VLOOKUP(F40,'v6 benchmarks'!$U$4:$Y$733,3,FALSE)</f>
        <v>#N/A</v>
      </c>
      <c r="I40" s="66" t="e">
        <f>VLOOKUP(F40,'v6 benchmarks'!$U$4:$Y$733,4,FALSE)</f>
        <v>#N/A</v>
      </c>
      <c r="M40" s="65" t="s">
        <v>238</v>
      </c>
      <c r="N40" s="66" t="e">
        <f t="shared" si="2"/>
        <v>#N/A</v>
      </c>
      <c r="O40" s="66" t="e">
        <f t="shared" si="2"/>
        <v>#N/A</v>
      </c>
      <c r="P40" s="63"/>
      <c r="Q40" s="57"/>
    </row>
    <row r="41" spans="3:17" x14ac:dyDescent="0.2">
      <c r="C41" s="55"/>
      <c r="E41" s="60"/>
      <c r="F41" s="60" t="e">
        <f>(E$32*10)</f>
        <v>#N/A</v>
      </c>
      <c r="G41" s="138" t="s">
        <v>239</v>
      </c>
      <c r="H41" s="139" t="e">
        <f>SUM(H32:H40)</f>
        <v>#N/A</v>
      </c>
      <c r="I41" s="139" t="e">
        <f>SUM(I32:I40)</f>
        <v>#N/A</v>
      </c>
      <c r="M41" s="138" t="s">
        <v>239</v>
      </c>
      <c r="N41" s="139" t="e">
        <f>SUM(N32:N40)</f>
        <v>#N/A</v>
      </c>
      <c r="O41" s="139" t="e">
        <f>SUM(O32:O40)</f>
        <v>#N/A</v>
      </c>
      <c r="P41" s="63"/>
      <c r="Q41" s="57"/>
    </row>
    <row r="42" spans="3:17" x14ac:dyDescent="0.2">
      <c r="C42" s="55"/>
      <c r="E42" s="60"/>
      <c r="F42" s="60"/>
      <c r="G42" s="60"/>
      <c r="H42" s="60"/>
      <c r="I42" s="60"/>
      <c r="N42" s="60"/>
      <c r="O42" s="60"/>
      <c r="P42" s="63"/>
      <c r="Q42" s="57"/>
    </row>
    <row r="43" spans="3:17" x14ac:dyDescent="0.2">
      <c r="C43" s="55"/>
      <c r="D43" s="56" t="s">
        <v>242</v>
      </c>
      <c r="E43" s="60"/>
      <c r="G43" s="58" t="s">
        <v>227</v>
      </c>
      <c r="H43" s="137" t="s">
        <v>228</v>
      </c>
      <c r="I43" s="137" t="s">
        <v>229</v>
      </c>
      <c r="M43" s="58" t="s">
        <v>227</v>
      </c>
      <c r="N43" s="59" t="s">
        <v>228</v>
      </c>
      <c r="O43" s="59" t="s">
        <v>229</v>
      </c>
      <c r="P43" s="63"/>
      <c r="Q43" s="57"/>
    </row>
    <row r="44" spans="3:17" x14ac:dyDescent="0.2">
      <c r="C44" s="55"/>
      <c r="D44" s="60">
        <f>+'Asset Information'!C20</f>
        <v>0</v>
      </c>
      <c r="E44" s="60" t="e">
        <f>VLOOKUP(D44,'v6 benchmarks'!$S$4:$X$733,2,FALSE)</f>
        <v>#N/A</v>
      </c>
      <c r="F44" s="60" t="e">
        <f>(E$44*10)-9</f>
        <v>#N/A</v>
      </c>
      <c r="G44" s="61" t="s">
        <v>230</v>
      </c>
      <c r="H44" s="66" t="e">
        <f>VLOOKUP(F44,'v6 benchmarks'!$U$4:$Y$733,3,FALSE)</f>
        <v>#N/A</v>
      </c>
      <c r="I44" s="66" t="e">
        <f>VLOOKUP(F44,'v6 benchmarks'!$U$4:$Y$733,4,FALSE)</f>
        <v>#N/A</v>
      </c>
      <c r="M44" s="61" t="s">
        <v>230</v>
      </c>
      <c r="N44" s="66" t="e">
        <f>VLOOKUP('Asset Information'!$C$13,'v6 picksheet'!$I$5:$K$189,2,FALSE)/'v6 picksheet'!$J$180*H44*0.8+0.2*H44</f>
        <v>#N/A</v>
      </c>
      <c r="O44" s="66" t="e">
        <f>VLOOKUP('Asset Information'!$C$13,'v6 picksheet'!$I$5:$K$189,2,FALSE)/'v6 picksheet'!$J$180*I44*0.8+0.2*I44</f>
        <v>#N/A</v>
      </c>
      <c r="P44" s="63"/>
      <c r="Q44" s="57"/>
    </row>
    <row r="45" spans="3:17" x14ac:dyDescent="0.2">
      <c r="C45" s="55"/>
      <c r="E45" s="60"/>
      <c r="F45" s="60" t="e">
        <f>(E$44*10)-8</f>
        <v>#N/A</v>
      </c>
      <c r="G45" s="65" t="s">
        <v>231</v>
      </c>
      <c r="H45" s="66" t="e">
        <f>VLOOKUP(F45,'v6 benchmarks'!$U$4:$Y$733,3,FALSE)</f>
        <v>#N/A</v>
      </c>
      <c r="I45" s="66" t="e">
        <f>VLOOKUP(F45,'v6 benchmarks'!$U$4:$Y$733,4,FALSE)</f>
        <v>#N/A</v>
      </c>
      <c r="M45" s="65" t="s">
        <v>231</v>
      </c>
      <c r="N45" s="66" t="e">
        <f>IF(H44=0,0,+N44/H44*H45)</f>
        <v>#N/A</v>
      </c>
      <c r="O45" s="66" t="e">
        <f>IF(I44=0,0,+O44/I44*I45)</f>
        <v>#N/A</v>
      </c>
      <c r="P45" s="63"/>
      <c r="Q45" s="57"/>
    </row>
    <row r="46" spans="3:17" x14ac:dyDescent="0.2">
      <c r="C46" s="55"/>
      <c r="E46" s="60"/>
      <c r="F46" s="60" t="e">
        <f>(E$44*10)-7</f>
        <v>#N/A</v>
      </c>
      <c r="G46" s="65" t="s">
        <v>232</v>
      </c>
      <c r="H46" s="66" t="e">
        <f>VLOOKUP(F46,'v6 benchmarks'!$U$4:$Y$733,3,FALSE)</f>
        <v>#N/A</v>
      </c>
      <c r="I46" s="66" t="e">
        <f>VLOOKUP(F46,'v6 benchmarks'!$U$4:$Y$733,4,FALSE)</f>
        <v>#N/A</v>
      </c>
      <c r="M46" s="65" t="s">
        <v>232</v>
      </c>
      <c r="N46" s="66" t="e">
        <f>VLOOKUP('Asset Information'!$C$13,'v6 picksheet'!$I$5:$K$189,3,FALSE)/'v6 picksheet'!$K$180*H46*0.2+0.8*H46</f>
        <v>#N/A</v>
      </c>
      <c r="O46" s="66" t="e">
        <f>VLOOKUP('Asset Information'!$C$13,'v6 picksheet'!$I$5:$K$189,3,FALSE)/'v6 picksheet'!$K$180*I46*0.2+0.8*I46</f>
        <v>#N/A</v>
      </c>
      <c r="P46" s="63"/>
      <c r="Q46" s="57"/>
    </row>
    <row r="47" spans="3:17" x14ac:dyDescent="0.2">
      <c r="C47" s="55"/>
      <c r="E47" s="60"/>
      <c r="F47" s="60" t="e">
        <f>(E$44*10)-6</f>
        <v>#N/A</v>
      </c>
      <c r="G47" s="65" t="s">
        <v>233</v>
      </c>
      <c r="H47" s="66" t="e">
        <f>VLOOKUP(F47,'v6 benchmarks'!$U$4:$Y$733,3,FALSE)</f>
        <v>#N/A</v>
      </c>
      <c r="I47" s="66" t="e">
        <f>VLOOKUP(F47,'v6 benchmarks'!$U$4:$Y$733,4,FALSE)</f>
        <v>#N/A</v>
      </c>
      <c r="M47" s="65" t="s">
        <v>233</v>
      </c>
      <c r="N47" s="66" t="e">
        <f>IF(H46=0,0,+N46/H46*H47)</f>
        <v>#N/A</v>
      </c>
      <c r="O47" s="66" t="e">
        <f>IF(I46=0,0,+O46/I46*I47)</f>
        <v>#N/A</v>
      </c>
      <c r="P47" s="63"/>
      <c r="Q47" s="57"/>
    </row>
    <row r="48" spans="3:17" x14ac:dyDescent="0.2">
      <c r="C48" s="55"/>
      <c r="E48" s="60"/>
      <c r="F48" s="60" t="e">
        <f>(E$44*10)-5</f>
        <v>#N/A</v>
      </c>
      <c r="G48" s="65" t="s">
        <v>234</v>
      </c>
      <c r="H48" s="66" t="e">
        <f>VLOOKUP(F48,'v6 benchmarks'!$U$4:$Y$733,3,FALSE)</f>
        <v>#N/A</v>
      </c>
      <c r="I48" s="66" t="e">
        <f>VLOOKUP(F48,'v6 benchmarks'!$U$4:$Y$733,4,FALSE)</f>
        <v>#N/A</v>
      </c>
      <c r="M48" s="65" t="s">
        <v>234</v>
      </c>
      <c r="N48" s="66" t="e">
        <f t="shared" ref="N48:O52" si="3">H48</f>
        <v>#N/A</v>
      </c>
      <c r="O48" s="66" t="e">
        <f t="shared" si="3"/>
        <v>#N/A</v>
      </c>
      <c r="P48" s="63"/>
      <c r="Q48" s="57"/>
    </row>
    <row r="49" spans="3:17" x14ac:dyDescent="0.2">
      <c r="C49" s="55"/>
      <c r="E49" s="60"/>
      <c r="F49" s="60" t="e">
        <f>(E$44*10)-4</f>
        <v>#N/A</v>
      </c>
      <c r="G49" s="65" t="s">
        <v>235</v>
      </c>
      <c r="H49" s="66" t="e">
        <f>VLOOKUP(F49,'v6 benchmarks'!$U$4:$Y$733,3,FALSE)</f>
        <v>#N/A</v>
      </c>
      <c r="I49" s="66" t="e">
        <f>VLOOKUP(F49,'v6 benchmarks'!$U$4:$Y$733,4,FALSE)</f>
        <v>#N/A</v>
      </c>
      <c r="M49" s="65" t="s">
        <v>235</v>
      </c>
      <c r="N49" s="66" t="e">
        <f t="shared" si="3"/>
        <v>#N/A</v>
      </c>
      <c r="O49" s="66" t="e">
        <f t="shared" si="3"/>
        <v>#N/A</v>
      </c>
      <c r="P49" s="63"/>
      <c r="Q49" s="57"/>
    </row>
    <row r="50" spans="3:17" x14ac:dyDescent="0.2">
      <c r="C50" s="55"/>
      <c r="E50" s="60"/>
      <c r="F50" s="60" t="e">
        <f>(E$44*10)-3</f>
        <v>#N/A</v>
      </c>
      <c r="G50" s="65" t="s">
        <v>236</v>
      </c>
      <c r="H50" s="66" t="e">
        <f>VLOOKUP(F50,'v6 benchmarks'!$U$4:$Y$733,3,FALSE)</f>
        <v>#N/A</v>
      </c>
      <c r="I50" s="66" t="e">
        <f>VLOOKUP(F50,'v6 benchmarks'!$U$4:$Y$733,4,FALSE)</f>
        <v>#N/A</v>
      </c>
      <c r="M50" s="65" t="s">
        <v>236</v>
      </c>
      <c r="N50" s="66" t="e">
        <f t="shared" si="3"/>
        <v>#N/A</v>
      </c>
      <c r="O50" s="66" t="e">
        <f t="shared" si="3"/>
        <v>#N/A</v>
      </c>
      <c r="P50" s="63"/>
      <c r="Q50" s="57"/>
    </row>
    <row r="51" spans="3:17" x14ac:dyDescent="0.2">
      <c r="C51" s="55"/>
      <c r="E51" s="60"/>
      <c r="F51" s="60" t="e">
        <f>(E$44*10)-2</f>
        <v>#N/A</v>
      </c>
      <c r="G51" s="65" t="s">
        <v>237</v>
      </c>
      <c r="H51" s="66" t="e">
        <f>VLOOKUP(F51,'v6 benchmarks'!$U$4:$Y$733,3,FALSE)</f>
        <v>#N/A</v>
      </c>
      <c r="I51" s="66" t="e">
        <f>VLOOKUP(F51,'v6 benchmarks'!$U$4:$Y$733,4,FALSE)</f>
        <v>#N/A</v>
      </c>
      <c r="M51" s="65" t="s">
        <v>237</v>
      </c>
      <c r="N51" s="66" t="e">
        <f t="shared" si="3"/>
        <v>#N/A</v>
      </c>
      <c r="O51" s="66" t="e">
        <f t="shared" si="3"/>
        <v>#N/A</v>
      </c>
      <c r="P51" s="63"/>
      <c r="Q51" s="57"/>
    </row>
    <row r="52" spans="3:17" x14ac:dyDescent="0.2">
      <c r="C52" s="55"/>
      <c r="E52" s="60"/>
      <c r="F52" s="60" t="e">
        <f>(E$44*10)-1</f>
        <v>#N/A</v>
      </c>
      <c r="G52" s="65" t="s">
        <v>238</v>
      </c>
      <c r="H52" s="66" t="e">
        <f>VLOOKUP(F52,'v6 benchmarks'!$U$4:$Y$733,3,FALSE)</f>
        <v>#N/A</v>
      </c>
      <c r="I52" s="66" t="e">
        <f>VLOOKUP(F52,'v6 benchmarks'!$U$4:$Y$733,4,FALSE)</f>
        <v>#N/A</v>
      </c>
      <c r="M52" s="65" t="s">
        <v>238</v>
      </c>
      <c r="N52" s="66" t="e">
        <f t="shared" si="3"/>
        <v>#N/A</v>
      </c>
      <c r="O52" s="66" t="e">
        <f t="shared" si="3"/>
        <v>#N/A</v>
      </c>
      <c r="P52" s="63"/>
      <c r="Q52" s="57"/>
    </row>
    <row r="53" spans="3:17" x14ac:dyDescent="0.2">
      <c r="C53" s="55"/>
      <c r="E53" s="60"/>
      <c r="F53" s="60" t="e">
        <f>(E$44*10)</f>
        <v>#N/A</v>
      </c>
      <c r="G53" s="138" t="s">
        <v>239</v>
      </c>
      <c r="H53" s="139" t="e">
        <f>SUM(H44:H52)</f>
        <v>#N/A</v>
      </c>
      <c r="I53" s="139" t="e">
        <f>SUM(I44:I52)</f>
        <v>#N/A</v>
      </c>
      <c r="M53" s="138" t="s">
        <v>239</v>
      </c>
      <c r="N53" s="139" t="e">
        <f>SUM(N44:N52)</f>
        <v>#N/A</v>
      </c>
      <c r="O53" s="139" t="e">
        <f>SUM(O44:O52)</f>
        <v>#N/A</v>
      </c>
      <c r="P53" s="63"/>
      <c r="Q53" s="57"/>
    </row>
    <row r="54" spans="3:17" x14ac:dyDescent="0.2">
      <c r="C54" s="55"/>
      <c r="E54" s="60"/>
      <c r="F54" s="60"/>
      <c r="G54" s="60"/>
      <c r="H54" s="60"/>
      <c r="I54" s="60"/>
      <c r="N54" s="60"/>
      <c r="O54" s="60"/>
      <c r="P54" s="63"/>
      <c r="Q54" s="57"/>
    </row>
    <row r="55" spans="3:17" x14ac:dyDescent="0.2">
      <c r="C55" s="55"/>
      <c r="D55" s="56" t="s">
        <v>243</v>
      </c>
      <c r="E55" s="60"/>
      <c r="G55" s="58" t="s">
        <v>227</v>
      </c>
      <c r="H55" s="137" t="s">
        <v>228</v>
      </c>
      <c r="I55" s="137" t="s">
        <v>229</v>
      </c>
      <c r="M55" s="58" t="s">
        <v>227</v>
      </c>
      <c r="N55" s="59" t="s">
        <v>228</v>
      </c>
      <c r="O55" s="59" t="s">
        <v>229</v>
      </c>
      <c r="P55" s="63"/>
      <c r="Q55" s="57"/>
    </row>
    <row r="56" spans="3:17" x14ac:dyDescent="0.2">
      <c r="C56" s="55"/>
      <c r="D56" s="60">
        <f>+'Asset Information'!C22</f>
        <v>0</v>
      </c>
      <c r="E56" s="60" t="e">
        <f>VLOOKUP(D56,'v6 benchmarks'!$S$4:$X$733,2,FALSE)</f>
        <v>#N/A</v>
      </c>
      <c r="F56" s="60" t="e">
        <f>(E$56*10)-9</f>
        <v>#N/A</v>
      </c>
      <c r="G56" s="61" t="s">
        <v>230</v>
      </c>
      <c r="H56" s="66" t="e">
        <f>VLOOKUP(F56,'v6 benchmarks'!$U$4:$Y$733,3,FALSE)</f>
        <v>#N/A</v>
      </c>
      <c r="I56" s="66" t="e">
        <f>VLOOKUP(F56,'v6 benchmarks'!$U$4:$Y$733,4,FALSE)</f>
        <v>#N/A</v>
      </c>
      <c r="M56" s="61" t="s">
        <v>230</v>
      </c>
      <c r="N56" s="66" t="e">
        <f>VLOOKUP('Asset Information'!$C$13,'v6 picksheet'!$I$5:$K$189,2,FALSE)/'v6 picksheet'!$J$180*H56*0.8+0.2*H56</f>
        <v>#N/A</v>
      </c>
      <c r="O56" s="66" t="e">
        <f>VLOOKUP('Asset Information'!$C$13,'v6 picksheet'!$I$5:$K$189,2,FALSE)/'v6 picksheet'!$J$180*I56*0.8+0.2*I56</f>
        <v>#N/A</v>
      </c>
      <c r="P56" s="63"/>
      <c r="Q56" s="57"/>
    </row>
    <row r="57" spans="3:17" x14ac:dyDescent="0.2">
      <c r="C57" s="55"/>
      <c r="E57" s="60"/>
      <c r="F57" s="60" t="e">
        <f>(E$56*10)-8</f>
        <v>#N/A</v>
      </c>
      <c r="G57" s="65" t="s">
        <v>231</v>
      </c>
      <c r="H57" s="66" t="e">
        <f>VLOOKUP(F57,'v6 benchmarks'!$U$4:$Y$733,3,FALSE)</f>
        <v>#N/A</v>
      </c>
      <c r="I57" s="66" t="e">
        <f>VLOOKUP(F57,'v6 benchmarks'!$U$4:$Y$733,4,FALSE)</f>
        <v>#N/A</v>
      </c>
      <c r="M57" s="65" t="s">
        <v>231</v>
      </c>
      <c r="N57" s="66" t="e">
        <f>IF(H56=0,0,+N56/H56*H57)</f>
        <v>#N/A</v>
      </c>
      <c r="O57" s="66" t="e">
        <f>IF(I56=0,0,+O56/I56*I57)</f>
        <v>#N/A</v>
      </c>
      <c r="P57" s="63"/>
      <c r="Q57" s="57"/>
    </row>
    <row r="58" spans="3:17" x14ac:dyDescent="0.2">
      <c r="C58" s="55"/>
      <c r="E58" s="60"/>
      <c r="F58" s="60" t="e">
        <f>(E$56*10)-7</f>
        <v>#N/A</v>
      </c>
      <c r="G58" s="65" t="s">
        <v>232</v>
      </c>
      <c r="H58" s="66" t="e">
        <f>VLOOKUP(F58,'v6 benchmarks'!$U$4:$Y$733,3,FALSE)</f>
        <v>#N/A</v>
      </c>
      <c r="I58" s="66" t="e">
        <f>VLOOKUP(F58,'v6 benchmarks'!$U$4:$Y$733,4,FALSE)</f>
        <v>#N/A</v>
      </c>
      <c r="M58" s="65" t="s">
        <v>232</v>
      </c>
      <c r="N58" s="66" t="e">
        <f>VLOOKUP('Asset Information'!$C$13,'v6 picksheet'!$I$5:$K$189,3,FALSE)/'v6 picksheet'!$K$180*H58*0.2+0.8*H58</f>
        <v>#N/A</v>
      </c>
      <c r="O58" s="66" t="e">
        <f>VLOOKUP('Asset Information'!$C$13,'v6 picksheet'!$I$5:$K$189,3,FALSE)/'v6 picksheet'!$K$180*I58*0.2+0.8*I58</f>
        <v>#N/A</v>
      </c>
      <c r="P58" s="63"/>
      <c r="Q58" s="57"/>
    </row>
    <row r="59" spans="3:17" x14ac:dyDescent="0.2">
      <c r="C59" s="55"/>
      <c r="E59" s="60"/>
      <c r="F59" s="60" t="e">
        <f>(E$56*10)-6</f>
        <v>#N/A</v>
      </c>
      <c r="G59" s="65" t="s">
        <v>233</v>
      </c>
      <c r="H59" s="66" t="e">
        <f>VLOOKUP(F59,'v6 benchmarks'!$U$4:$Y$733,3,FALSE)</f>
        <v>#N/A</v>
      </c>
      <c r="I59" s="66" t="e">
        <f>VLOOKUP(F59,'v6 benchmarks'!$U$4:$Y$733,4,FALSE)</f>
        <v>#N/A</v>
      </c>
      <c r="M59" s="65" t="s">
        <v>233</v>
      </c>
      <c r="N59" s="66" t="e">
        <f>IF(H58=0,0,+N58/H58*H59)</f>
        <v>#N/A</v>
      </c>
      <c r="O59" s="66" t="e">
        <f>IF(I58=0,0,+O58/I58*I59)</f>
        <v>#N/A</v>
      </c>
      <c r="P59" s="63"/>
      <c r="Q59" s="57"/>
    </row>
    <row r="60" spans="3:17" x14ac:dyDescent="0.2">
      <c r="C60" s="55"/>
      <c r="E60" s="60"/>
      <c r="F60" s="60" t="e">
        <f>(E$56*10)-5</f>
        <v>#N/A</v>
      </c>
      <c r="G60" s="65" t="s">
        <v>234</v>
      </c>
      <c r="H60" s="66" t="e">
        <f>VLOOKUP(F60,'v6 benchmarks'!$U$4:$Y$733,3,FALSE)</f>
        <v>#N/A</v>
      </c>
      <c r="I60" s="66" t="e">
        <f>VLOOKUP(F60,'v6 benchmarks'!$U$4:$Y$733,4,FALSE)</f>
        <v>#N/A</v>
      </c>
      <c r="M60" s="65" t="s">
        <v>234</v>
      </c>
      <c r="N60" s="66" t="e">
        <f t="shared" ref="N60:O64" si="4">H60</f>
        <v>#N/A</v>
      </c>
      <c r="O60" s="66" t="e">
        <f t="shared" si="4"/>
        <v>#N/A</v>
      </c>
      <c r="P60" s="63"/>
      <c r="Q60" s="57"/>
    </row>
    <row r="61" spans="3:17" x14ac:dyDescent="0.2">
      <c r="C61" s="55"/>
      <c r="E61" s="60"/>
      <c r="F61" s="60" t="e">
        <f>(E$56*10)-4</f>
        <v>#N/A</v>
      </c>
      <c r="G61" s="65" t="s">
        <v>235</v>
      </c>
      <c r="H61" s="66" t="e">
        <f>VLOOKUP(F61,'v6 benchmarks'!$U$4:$Y$733,3,FALSE)</f>
        <v>#N/A</v>
      </c>
      <c r="I61" s="66" t="e">
        <f>VLOOKUP(F61,'v6 benchmarks'!$U$4:$Y$733,4,FALSE)</f>
        <v>#N/A</v>
      </c>
      <c r="M61" s="65" t="s">
        <v>235</v>
      </c>
      <c r="N61" s="66" t="e">
        <f t="shared" si="4"/>
        <v>#N/A</v>
      </c>
      <c r="O61" s="66" t="e">
        <f t="shared" si="4"/>
        <v>#N/A</v>
      </c>
      <c r="P61" s="63"/>
      <c r="Q61" s="57"/>
    </row>
    <row r="62" spans="3:17" x14ac:dyDescent="0.2">
      <c r="C62" s="55"/>
      <c r="E62" s="60"/>
      <c r="F62" s="60" t="e">
        <f>(E$56*10)-3</f>
        <v>#N/A</v>
      </c>
      <c r="G62" s="65" t="s">
        <v>236</v>
      </c>
      <c r="H62" s="66" t="e">
        <f>VLOOKUP(F62,'v6 benchmarks'!$U$4:$Y$733,3,FALSE)</f>
        <v>#N/A</v>
      </c>
      <c r="I62" s="66" t="e">
        <f>VLOOKUP(F62,'v6 benchmarks'!$U$4:$Y$733,4,FALSE)</f>
        <v>#N/A</v>
      </c>
      <c r="M62" s="65" t="s">
        <v>236</v>
      </c>
      <c r="N62" s="66" t="e">
        <f t="shared" si="4"/>
        <v>#N/A</v>
      </c>
      <c r="O62" s="66" t="e">
        <f t="shared" si="4"/>
        <v>#N/A</v>
      </c>
      <c r="P62" s="63"/>
      <c r="Q62" s="57"/>
    </row>
    <row r="63" spans="3:17" x14ac:dyDescent="0.2">
      <c r="C63" s="55"/>
      <c r="E63" s="60"/>
      <c r="F63" s="60" t="e">
        <f>(E$56*10)-2</f>
        <v>#N/A</v>
      </c>
      <c r="G63" s="65" t="s">
        <v>237</v>
      </c>
      <c r="H63" s="66" t="e">
        <f>VLOOKUP(F63,'v6 benchmarks'!$U$4:$Y$733,3,FALSE)</f>
        <v>#N/A</v>
      </c>
      <c r="I63" s="66" t="e">
        <f>VLOOKUP(F63,'v6 benchmarks'!$U$4:$Y$733,4,FALSE)</f>
        <v>#N/A</v>
      </c>
      <c r="M63" s="65" t="s">
        <v>237</v>
      </c>
      <c r="N63" s="66" t="e">
        <f t="shared" si="4"/>
        <v>#N/A</v>
      </c>
      <c r="O63" s="66" t="e">
        <f t="shared" si="4"/>
        <v>#N/A</v>
      </c>
      <c r="P63" s="63"/>
      <c r="Q63" s="57"/>
    </row>
    <row r="64" spans="3:17" x14ac:dyDescent="0.2">
      <c r="C64" s="55"/>
      <c r="E64" s="60"/>
      <c r="F64" s="60" t="e">
        <f>(E$56*10)-1</f>
        <v>#N/A</v>
      </c>
      <c r="G64" s="65" t="s">
        <v>238</v>
      </c>
      <c r="H64" s="66" t="e">
        <f>VLOOKUP(F64,'v6 benchmarks'!$U$4:$Y$733,3,FALSE)</f>
        <v>#N/A</v>
      </c>
      <c r="I64" s="66" t="e">
        <f>VLOOKUP(F64,'v6 benchmarks'!$U$4:$Y$733,4,FALSE)</f>
        <v>#N/A</v>
      </c>
      <c r="M64" s="65" t="s">
        <v>238</v>
      </c>
      <c r="N64" s="66" t="e">
        <f t="shared" si="4"/>
        <v>#N/A</v>
      </c>
      <c r="O64" s="66" t="e">
        <f t="shared" si="4"/>
        <v>#N/A</v>
      </c>
      <c r="P64" s="63"/>
      <c r="Q64" s="57"/>
    </row>
    <row r="65" spans="3:17" x14ac:dyDescent="0.2">
      <c r="C65" s="55"/>
      <c r="E65" s="60"/>
      <c r="F65" s="60" t="e">
        <f>(E$56*10)</f>
        <v>#N/A</v>
      </c>
      <c r="G65" s="138" t="s">
        <v>239</v>
      </c>
      <c r="H65" s="139" t="e">
        <f>SUM(H56:H64)</f>
        <v>#N/A</v>
      </c>
      <c r="I65" s="139" t="e">
        <f>SUM(I56:I64)</f>
        <v>#N/A</v>
      </c>
      <c r="M65" s="138" t="s">
        <v>239</v>
      </c>
      <c r="N65" s="139" t="e">
        <f>SUM(N56:N64)</f>
        <v>#N/A</v>
      </c>
      <c r="O65" s="139" t="e">
        <f>SUM(O56:O64)</f>
        <v>#N/A</v>
      </c>
      <c r="P65" s="63"/>
      <c r="Q65" s="57"/>
    </row>
    <row r="66" spans="3:17" x14ac:dyDescent="0.2">
      <c r="C66" s="55"/>
      <c r="G66" s="60"/>
      <c r="H66" s="60"/>
      <c r="I66" s="60"/>
      <c r="P66" s="63"/>
      <c r="Q66" s="57"/>
    </row>
    <row r="67" spans="3:17" x14ac:dyDescent="0.2">
      <c r="C67" s="55"/>
      <c r="G67" s="60"/>
      <c r="H67" s="60"/>
      <c r="I67" s="60"/>
      <c r="P67" s="63"/>
      <c r="Q67" s="57"/>
    </row>
    <row r="68" spans="3:17" x14ac:dyDescent="0.2">
      <c r="C68" s="55"/>
      <c r="G68" s="60"/>
      <c r="H68" s="60"/>
      <c r="I68" s="60"/>
      <c r="P68" s="63"/>
      <c r="Q68" s="57"/>
    </row>
    <row r="69" spans="3:17" x14ac:dyDescent="0.2">
      <c r="C69" s="55"/>
      <c r="F69" s="58" t="s">
        <v>244</v>
      </c>
      <c r="G69" s="68" t="s">
        <v>245</v>
      </c>
      <c r="H69" s="68" t="s">
        <v>228</v>
      </c>
      <c r="I69" s="68" t="s">
        <v>229</v>
      </c>
      <c r="L69" s="58" t="s">
        <v>244</v>
      </c>
      <c r="M69" s="68" t="s">
        <v>245</v>
      </c>
      <c r="N69" s="68" t="s">
        <v>228</v>
      </c>
      <c r="O69" s="68" t="s">
        <v>229</v>
      </c>
      <c r="P69" s="63"/>
      <c r="Q69" s="57"/>
    </row>
    <row r="70" spans="3:17" x14ac:dyDescent="0.2">
      <c r="C70" s="55"/>
      <c r="F70" s="61">
        <v>1</v>
      </c>
      <c r="G70" s="177">
        <f>+'Asset Information'!C15</f>
        <v>0</v>
      </c>
      <c r="H70" s="178">
        <f>IF(D8=0,0,H17)</f>
        <v>0</v>
      </c>
      <c r="I70" s="179">
        <f>IF(D8=0,0,I17)</f>
        <v>0</v>
      </c>
      <c r="L70" s="65">
        <v>1</v>
      </c>
      <c r="M70" s="60">
        <f>+G70</f>
        <v>0</v>
      </c>
      <c r="N70" s="63">
        <f>IF(D8=0,0,N17)</f>
        <v>0</v>
      </c>
      <c r="O70" s="63">
        <f>IF(D8=0,0,O17)</f>
        <v>0</v>
      </c>
      <c r="P70" s="63"/>
      <c r="Q70" s="57"/>
    </row>
    <row r="71" spans="3:17" x14ac:dyDescent="0.2">
      <c r="C71" s="55"/>
      <c r="F71" s="65">
        <v>2</v>
      </c>
      <c r="G71" s="60">
        <f>+'Asset Information'!C17</f>
        <v>0</v>
      </c>
      <c r="H71" s="63">
        <f>IF(D20=0,0,H29)</f>
        <v>0</v>
      </c>
      <c r="I71" s="64">
        <f>IF(D20=0,0,I29)</f>
        <v>0</v>
      </c>
      <c r="L71" s="65">
        <v>2</v>
      </c>
      <c r="M71" s="60">
        <f t="shared" ref="M71:M74" si="5">+G71</f>
        <v>0</v>
      </c>
      <c r="N71" s="63">
        <f>IF(D20=0,0,N29)</f>
        <v>0</v>
      </c>
      <c r="O71" s="63">
        <f>IF(D20=0,0,O29)</f>
        <v>0</v>
      </c>
      <c r="P71" s="63"/>
      <c r="Q71" s="57"/>
    </row>
    <row r="72" spans="3:17" x14ac:dyDescent="0.2">
      <c r="C72" s="55"/>
      <c r="F72" s="65">
        <v>3</v>
      </c>
      <c r="G72" s="60">
        <f>+'Asset Information'!C19</f>
        <v>0</v>
      </c>
      <c r="H72" s="63">
        <f>IF(D32=0,0,H41)</f>
        <v>0</v>
      </c>
      <c r="I72" s="64">
        <f>IF(D32=0,0,I41)</f>
        <v>0</v>
      </c>
      <c r="L72" s="65">
        <v>3</v>
      </c>
      <c r="M72" s="60">
        <f t="shared" si="5"/>
        <v>0</v>
      </c>
      <c r="N72" s="63">
        <f>IF(D32=0,0,N41)</f>
        <v>0</v>
      </c>
      <c r="O72" s="63">
        <f>IF(D32=0,0,O41)</f>
        <v>0</v>
      </c>
      <c r="P72" s="63"/>
      <c r="Q72" s="57"/>
    </row>
    <row r="73" spans="3:17" x14ac:dyDescent="0.2">
      <c r="C73" s="55"/>
      <c r="F73" s="65">
        <v>4</v>
      </c>
      <c r="G73" s="60">
        <f>+'Asset Information'!C21</f>
        <v>0</v>
      </c>
      <c r="H73" s="63">
        <f>IF(D44=0,0,H53)</f>
        <v>0</v>
      </c>
      <c r="I73" s="64">
        <f>IF(D44=0,0,I53)</f>
        <v>0</v>
      </c>
      <c r="L73" s="65">
        <v>4</v>
      </c>
      <c r="M73" s="60">
        <f t="shared" si="5"/>
        <v>0</v>
      </c>
      <c r="N73" s="63">
        <f>IF(D44=0,0,N53)</f>
        <v>0</v>
      </c>
      <c r="O73" s="63">
        <f>IF(D44=0,0,O53)</f>
        <v>0</v>
      </c>
      <c r="P73" s="63"/>
      <c r="Q73" s="57"/>
    </row>
    <row r="74" spans="3:17" x14ac:dyDescent="0.2">
      <c r="C74" s="55"/>
      <c r="F74" s="65">
        <v>5</v>
      </c>
      <c r="G74" s="60">
        <f>+'Asset Information'!C23</f>
        <v>0</v>
      </c>
      <c r="H74" s="63">
        <f>IF(D56=0,0,H65)</f>
        <v>0</v>
      </c>
      <c r="I74" s="64">
        <f>IF(D56=0,0,I65)</f>
        <v>0</v>
      </c>
      <c r="L74" s="65">
        <v>5</v>
      </c>
      <c r="M74" s="60">
        <f t="shared" si="5"/>
        <v>0</v>
      </c>
      <c r="N74" s="63">
        <f>IF(D56=0,0,N65)</f>
        <v>0</v>
      </c>
      <c r="O74" s="63">
        <f>IF(D56=0,0,O65)</f>
        <v>0</v>
      </c>
      <c r="P74" s="63"/>
      <c r="Q74" s="57"/>
    </row>
    <row r="75" spans="3:17" x14ac:dyDescent="0.2">
      <c r="C75" s="55"/>
      <c r="F75" s="69"/>
      <c r="G75" s="60"/>
      <c r="H75" s="60"/>
      <c r="I75" s="70"/>
      <c r="L75" s="69"/>
      <c r="M75" s="60"/>
      <c r="N75" s="60"/>
      <c r="O75" s="60"/>
      <c r="P75" s="63"/>
      <c r="Q75" s="57"/>
    </row>
    <row r="76" spans="3:17" x14ac:dyDescent="0.2">
      <c r="C76" s="55"/>
      <c r="F76" s="71"/>
      <c r="G76" s="72" t="s">
        <v>246</v>
      </c>
      <c r="H76" s="73" t="e">
        <f>((G70*H70)+(G71*H71)+(G72*H72)+(G73*H73)+(G74*H74))/(SUM(G70:G74))</f>
        <v>#DIV/0!</v>
      </c>
      <c r="I76" s="74" t="e">
        <f>((G70*I70)+(G71*I71)+(G72*I72)+(G73*I73)+(G74*I74))/(SUM(G70:G74))</f>
        <v>#DIV/0!</v>
      </c>
      <c r="L76" s="71"/>
      <c r="M76" s="72" t="s">
        <v>246</v>
      </c>
      <c r="N76" s="73" t="e">
        <f>((M70*N70)+(M71*N71)+(M72*N72)+(M73*N73)+(M74*N74))/(SUM(M70:M74))</f>
        <v>#DIV/0!</v>
      </c>
      <c r="O76" s="73" t="e">
        <f>((M70*O70)+(M71*O71)+(M72*O72)+(M73*O73)+(M74*O74))/(SUM(M70:M74))</f>
        <v>#DIV/0!</v>
      </c>
      <c r="P76" s="63"/>
      <c r="Q76" s="57"/>
    </row>
    <row r="77" spans="3:17" x14ac:dyDescent="0.2">
      <c r="C77" s="55"/>
      <c r="G77" s="60"/>
      <c r="H77" s="63"/>
      <c r="I77" s="63"/>
      <c r="J77" s="63"/>
      <c r="M77" s="60"/>
      <c r="N77" s="63"/>
      <c r="O77" s="63"/>
      <c r="P77" s="63"/>
      <c r="Q77" s="57"/>
    </row>
    <row r="78" spans="3:17" x14ac:dyDescent="0.2">
      <c r="C78" s="55"/>
      <c r="G78" s="180" t="s">
        <v>247</v>
      </c>
      <c r="H78" s="181"/>
      <c r="I78" s="182"/>
      <c r="M78" s="180" t="s">
        <v>248</v>
      </c>
      <c r="N78" s="181"/>
      <c r="O78" s="182"/>
      <c r="Q78" s="57"/>
    </row>
    <row r="79" spans="3:17" ht="14.5" customHeight="1" x14ac:dyDescent="0.2">
      <c r="C79" s="55"/>
      <c r="G79" s="263"/>
      <c r="H79" s="265" t="s">
        <v>249</v>
      </c>
      <c r="I79" s="267" t="s">
        <v>250</v>
      </c>
      <c r="M79" s="263"/>
      <c r="N79" s="259" t="s">
        <v>249</v>
      </c>
      <c r="O79" s="259" t="s">
        <v>250</v>
      </c>
      <c r="Q79" s="57"/>
    </row>
    <row r="80" spans="3:17" x14ac:dyDescent="0.2">
      <c r="C80" s="55"/>
      <c r="G80" s="264"/>
      <c r="H80" s="266"/>
      <c r="I80" s="268"/>
      <c r="M80" s="264"/>
      <c r="N80" s="260"/>
      <c r="O80" s="260"/>
      <c r="Q80" s="57"/>
    </row>
    <row r="81" spans="2:24" x14ac:dyDescent="0.2">
      <c r="C81" s="55"/>
      <c r="G81" s="75" t="s">
        <v>117</v>
      </c>
      <c r="H81" s="63" t="e">
        <f>H76</f>
        <v>#DIV/0!</v>
      </c>
      <c r="I81" s="64" t="e">
        <f>+H81*'v6 picksheet'!D2</f>
        <v>#DIV/0!</v>
      </c>
      <c r="M81" s="76" t="s">
        <v>117</v>
      </c>
      <c r="N81" s="62" t="e">
        <f>N76</f>
        <v>#DIV/0!</v>
      </c>
      <c r="O81" s="62" t="e">
        <f>N81*'v6 picksheet'!D2</f>
        <v>#DIV/0!</v>
      </c>
      <c r="Q81" s="57"/>
    </row>
    <row r="82" spans="2:24" x14ac:dyDescent="0.2">
      <c r="C82" s="55"/>
      <c r="G82" s="75" t="s">
        <v>251</v>
      </c>
      <c r="H82" s="63" t="e">
        <f>I76</f>
        <v>#DIV/0!</v>
      </c>
      <c r="I82" s="64" t="e">
        <f>H82*'v6 picksheet'!D3</f>
        <v>#DIV/0!</v>
      </c>
      <c r="M82" s="75" t="s">
        <v>251</v>
      </c>
      <c r="N82" s="66" t="e">
        <f>O76</f>
        <v>#DIV/0!</v>
      </c>
      <c r="O82" s="66" t="e">
        <f>N82*+'v6 picksheet'!D3</f>
        <v>#DIV/0!</v>
      </c>
      <c r="Q82" s="57"/>
    </row>
    <row r="83" spans="2:24" x14ac:dyDescent="0.2">
      <c r="C83" s="55"/>
      <c r="G83" s="77" t="s">
        <v>142</v>
      </c>
      <c r="H83" s="67" t="e">
        <f>SUM(H81:H82)</f>
        <v>#DIV/0!</v>
      </c>
      <c r="I83" s="67" t="e">
        <f>SUM(I81:I82)</f>
        <v>#DIV/0!</v>
      </c>
      <c r="M83" s="77" t="s">
        <v>142</v>
      </c>
      <c r="N83" s="78" t="e">
        <f>SUM(N81:N82)</f>
        <v>#DIV/0!</v>
      </c>
      <c r="O83" s="78" t="e">
        <f>SUM(O81:O82)</f>
        <v>#DIV/0!</v>
      </c>
      <c r="Q83" s="57"/>
    </row>
    <row r="84" spans="2:24" ht="16" thickBot="1" x14ac:dyDescent="0.25">
      <c r="C84" s="79"/>
      <c r="D84" s="80"/>
      <c r="E84" s="80"/>
      <c r="F84" s="80"/>
      <c r="G84" s="80"/>
      <c r="H84" s="80"/>
      <c r="I84" s="80"/>
      <c r="J84" s="80"/>
      <c r="K84" s="80"/>
      <c r="L84" s="80"/>
      <c r="M84" s="80"/>
      <c r="N84" s="80"/>
      <c r="O84" s="80"/>
      <c r="P84" s="80"/>
      <c r="Q84" s="81"/>
    </row>
    <row r="85" spans="2:24" ht="16" thickBot="1" x14ac:dyDescent="0.25"/>
    <row r="86" spans="2:24" ht="16" thickBot="1" x14ac:dyDescent="0.25">
      <c r="B86" s="82"/>
      <c r="C86" s="83"/>
      <c r="D86" s="83"/>
      <c r="E86" s="83"/>
      <c r="F86" s="83"/>
      <c r="G86" s="83"/>
      <c r="H86" s="83"/>
      <c r="I86" s="83"/>
      <c r="J86" s="83"/>
      <c r="K86" s="83"/>
      <c r="L86" s="83"/>
      <c r="M86" s="84"/>
      <c r="N86" s="85"/>
      <c r="O86" s="85"/>
      <c r="P86" s="85"/>
      <c r="Q86" s="85"/>
      <c r="R86" s="85"/>
      <c r="S86" s="85"/>
      <c r="T86" s="86"/>
      <c r="V86" s="87" t="s">
        <v>252</v>
      </c>
    </row>
    <row r="87" spans="2:24" ht="12" customHeight="1" x14ac:dyDescent="0.2">
      <c r="B87" s="88"/>
      <c r="D87" s="56" t="s">
        <v>253</v>
      </c>
      <c r="M87" s="89"/>
      <c r="N87" s="90" t="s">
        <v>254</v>
      </c>
      <c r="O87" s="91"/>
      <c r="P87" s="91"/>
      <c r="Q87" s="91"/>
      <c r="R87" s="92"/>
      <c r="T87" s="93"/>
      <c r="V87" s="94" t="s">
        <v>255</v>
      </c>
    </row>
    <row r="88" spans="2:24" ht="12" customHeight="1" thickBot="1" x14ac:dyDescent="0.25">
      <c r="B88" s="88"/>
      <c r="M88" s="89"/>
      <c r="N88" s="95"/>
      <c r="O88" s="96"/>
      <c r="P88" s="96"/>
      <c r="Q88" s="96"/>
      <c r="R88" s="97"/>
      <c r="T88" s="93"/>
      <c r="V88" s="98" t="s">
        <v>256</v>
      </c>
      <c r="W88" s="18" t="s">
        <v>257</v>
      </c>
      <c r="X88" s="18" t="s">
        <v>258</v>
      </c>
    </row>
    <row r="89" spans="2:24" ht="24" customHeight="1" thickBot="1" x14ac:dyDescent="0.25">
      <c r="B89" s="88"/>
      <c r="D89" s="261" t="s">
        <v>259</v>
      </c>
      <c r="E89" s="261" t="s">
        <v>260</v>
      </c>
      <c r="F89" s="99" t="s">
        <v>261</v>
      </c>
      <c r="G89" s="261" t="s">
        <v>262</v>
      </c>
      <c r="H89" s="261" t="s">
        <v>263</v>
      </c>
      <c r="I89" s="261" t="s">
        <v>264</v>
      </c>
      <c r="J89" s="261" t="s">
        <v>265</v>
      </c>
      <c r="K89" s="262" t="s">
        <v>266</v>
      </c>
      <c r="L89" s="262" t="s">
        <v>267</v>
      </c>
      <c r="M89" s="89"/>
      <c r="N89" s="184" t="s">
        <v>268</v>
      </c>
      <c r="O89" s="185"/>
      <c r="P89" s="185"/>
      <c r="Q89" s="186"/>
      <c r="R89" s="187" t="e">
        <f>+H115</f>
        <v>#DIV/0!</v>
      </c>
      <c r="S89" t="s">
        <v>269</v>
      </c>
      <c r="T89" s="93"/>
      <c r="V89" s="98">
        <v>-1</v>
      </c>
      <c r="W89" s="18">
        <v>50</v>
      </c>
      <c r="X89" s="18">
        <v>5</v>
      </c>
    </row>
    <row r="90" spans="2:24" x14ac:dyDescent="0.2">
      <c r="B90" s="88"/>
      <c r="D90" s="269"/>
      <c r="E90" s="269"/>
      <c r="F90" s="100"/>
      <c r="G90" s="262"/>
      <c r="H90" s="262"/>
      <c r="I90" s="262" t="s">
        <v>270</v>
      </c>
      <c r="J90" s="262" t="s">
        <v>270</v>
      </c>
      <c r="K90" s="262" t="s">
        <v>270</v>
      </c>
      <c r="L90" s="262"/>
      <c r="M90" s="89"/>
      <c r="T90" s="93"/>
      <c r="V90" s="98">
        <v>-0.8</v>
      </c>
      <c r="W90" s="18">
        <v>50</v>
      </c>
      <c r="X90" s="18">
        <v>4</v>
      </c>
    </row>
    <row r="91" spans="2:24" ht="11.5" customHeight="1" x14ac:dyDescent="0.2">
      <c r="B91" s="88"/>
      <c r="D91" s="76" t="str">
        <f>+'v6 picksheet'!A2</f>
        <v>mains supplied electricity</v>
      </c>
      <c r="E91" s="101"/>
      <c r="F91" s="101">
        <f>+'Data Validation'!AD34</f>
        <v>0</v>
      </c>
      <c r="G91" s="102"/>
      <c r="H91" s="103">
        <f>VLOOKUP(D91,'v6 picksheet'!$A$2:$D$18,4,FALSE)*F91</f>
        <v>0</v>
      </c>
      <c r="I91" s="104"/>
      <c r="J91" s="104"/>
      <c r="K91" s="105">
        <v>365</v>
      </c>
      <c r="L91" s="104" t="str">
        <f>IF(I91="","",AVERAGE(I91,J91))</f>
        <v/>
      </c>
      <c r="M91" s="89"/>
      <c r="T91" s="93"/>
      <c r="V91" s="98">
        <v>-0.6</v>
      </c>
      <c r="W91" s="18">
        <v>50</v>
      </c>
      <c r="X91" s="18">
        <v>3</v>
      </c>
    </row>
    <row r="92" spans="2:24" ht="12" customHeight="1" x14ac:dyDescent="0.2">
      <c r="B92" s="88"/>
      <c r="D92" s="76" t="str">
        <f>+'v6 picksheet'!A3</f>
        <v>Natural gas</v>
      </c>
      <c r="E92" s="101"/>
      <c r="F92" s="101">
        <f>+'Data Validation'!AD35</f>
        <v>0</v>
      </c>
      <c r="G92" s="102"/>
      <c r="H92" s="103">
        <f>VLOOKUP(D92,'v6 picksheet'!$A$2:$D$18,4,FALSE)*F92</f>
        <v>0</v>
      </c>
      <c r="I92" s="106"/>
      <c r="J92" s="106"/>
      <c r="K92" s="105">
        <v>365</v>
      </c>
      <c r="L92" s="104" t="str">
        <f t="shared" ref="L92:L110" si="6">IF(I92="","",AVERAGE(I92,J92))</f>
        <v/>
      </c>
      <c r="M92" s="89"/>
      <c r="T92" s="93"/>
      <c r="V92" s="98">
        <v>-0.4</v>
      </c>
      <c r="W92" s="18">
        <v>50</v>
      </c>
      <c r="X92" s="18">
        <v>2</v>
      </c>
    </row>
    <row r="93" spans="2:24" ht="11.5" customHeight="1" x14ac:dyDescent="0.2">
      <c r="B93" s="88"/>
      <c r="D93" s="76" t="str">
        <f>+'v6 picksheet'!A4</f>
        <v>Burning oil/kerosene</v>
      </c>
      <c r="E93" s="101"/>
      <c r="F93" s="101">
        <f>+'Data Validation'!AD36</f>
        <v>0</v>
      </c>
      <c r="G93" s="102"/>
      <c r="H93" s="103">
        <f>VLOOKUP(D93,'v6 picksheet'!$A$2:$D$18,4,FALSE)*F93</f>
        <v>0</v>
      </c>
      <c r="I93" s="106"/>
      <c r="J93" s="106"/>
      <c r="K93" s="105">
        <v>365</v>
      </c>
      <c r="L93" s="104" t="str">
        <f t="shared" si="6"/>
        <v/>
      </c>
      <c r="M93" s="89"/>
      <c r="T93" s="93"/>
      <c r="V93" s="98">
        <v>-0.2</v>
      </c>
      <c r="W93" s="18">
        <v>50</v>
      </c>
      <c r="X93" s="18">
        <v>1</v>
      </c>
    </row>
    <row r="94" spans="2:24" ht="12" customHeight="1" x14ac:dyDescent="0.2">
      <c r="B94" s="88"/>
      <c r="D94" s="76" t="str">
        <f>+'v6 picksheet'!A5</f>
        <v>Gas oil</v>
      </c>
      <c r="E94" s="101"/>
      <c r="F94" s="101">
        <f>+'Data Validation'!AD37</f>
        <v>0</v>
      </c>
      <c r="G94" s="102"/>
      <c r="H94" s="103">
        <f>VLOOKUP(D94,'v6 picksheet'!$A$2:$D$18,4,FALSE)*F94</f>
        <v>0</v>
      </c>
      <c r="I94" s="106"/>
      <c r="J94" s="106"/>
      <c r="K94" s="105">
        <v>365</v>
      </c>
      <c r="L94" s="104" t="str">
        <f t="shared" si="6"/>
        <v/>
      </c>
      <c r="M94" s="89"/>
      <c r="T94" s="93"/>
      <c r="V94" s="98">
        <v>0</v>
      </c>
      <c r="W94" s="18">
        <v>50</v>
      </c>
      <c r="X94" s="18"/>
    </row>
    <row r="95" spans="2:24" x14ac:dyDescent="0.2">
      <c r="B95" s="88"/>
      <c r="D95" s="76" t="str">
        <f>+'v6 picksheet'!A6</f>
        <v>Fuel oil</v>
      </c>
      <c r="E95" s="101"/>
      <c r="F95" s="101">
        <f>+'Data Validation'!AD38</f>
        <v>0</v>
      </c>
      <c r="G95" s="102"/>
      <c r="H95" s="103">
        <f>VLOOKUP(D95,'v6 picksheet'!$A$2:$D$18,4,FALSE)*F95</f>
        <v>0</v>
      </c>
      <c r="I95" s="106"/>
      <c r="J95" s="106"/>
      <c r="K95" s="105">
        <v>365</v>
      </c>
      <c r="L95" s="104" t="str">
        <f t="shared" si="6"/>
        <v/>
      </c>
      <c r="M95" s="89"/>
      <c r="T95" s="93"/>
      <c r="V95" s="98">
        <v>8.3778064516129083E-3</v>
      </c>
      <c r="W95" s="18">
        <v>49</v>
      </c>
      <c r="X95" s="18"/>
    </row>
    <row r="96" spans="2:24" ht="16" thickBot="1" x14ac:dyDescent="0.25">
      <c r="B96" s="88"/>
      <c r="D96" s="76" t="str">
        <f>+'v6 picksheet'!A7</f>
        <v>Diesel</v>
      </c>
      <c r="E96" s="101"/>
      <c r="F96" s="101">
        <f>+'Data Validation'!AD39</f>
        <v>0</v>
      </c>
      <c r="G96" s="102"/>
      <c r="H96" s="103">
        <f>VLOOKUP(D96,'v6 picksheet'!$A$2:$D$18,4,FALSE)*F96</f>
        <v>0</v>
      </c>
      <c r="I96" s="106"/>
      <c r="J96" s="106"/>
      <c r="K96" s="105">
        <v>365</v>
      </c>
      <c r="L96" s="104" t="str">
        <f t="shared" si="6"/>
        <v/>
      </c>
      <c r="M96" s="89"/>
      <c r="T96" s="93"/>
      <c r="V96" s="98">
        <v>1.8093419354838703E-2</v>
      </c>
      <c r="W96" s="18">
        <v>48</v>
      </c>
      <c r="X96" s="18"/>
    </row>
    <row r="97" spans="2:24" ht="11.5" customHeight="1" x14ac:dyDescent="0.2">
      <c r="B97" s="88"/>
      <c r="D97" s="76" t="str">
        <f>+'v6 picksheet'!A8</f>
        <v>LPG</v>
      </c>
      <c r="E97" s="101"/>
      <c r="F97" s="101">
        <f>+'Data Validation'!AD40</f>
        <v>0</v>
      </c>
      <c r="G97" s="102"/>
      <c r="H97" s="103">
        <f>VLOOKUP(D97,'v6 picksheet'!$A$2:$D$18,4,FALSE)*F97</f>
        <v>0</v>
      </c>
      <c r="I97" s="106"/>
      <c r="J97" s="106"/>
      <c r="K97" s="105">
        <v>365</v>
      </c>
      <c r="L97" s="104" t="str">
        <f t="shared" si="6"/>
        <v/>
      </c>
      <c r="M97" s="89"/>
      <c r="N97" s="90" t="s">
        <v>271</v>
      </c>
      <c r="O97" s="91"/>
      <c r="P97" s="91"/>
      <c r="Q97" s="91"/>
      <c r="R97" s="92"/>
      <c r="S97" s="108" t="s">
        <v>272</v>
      </c>
      <c r="T97" s="273" t="s">
        <v>273</v>
      </c>
      <c r="V97" s="98">
        <v>2.9245935483870972E-2</v>
      </c>
      <c r="W97" s="18">
        <v>47</v>
      </c>
      <c r="X97" s="18"/>
    </row>
    <row r="98" spans="2:24" ht="12" customHeight="1" thickBot="1" x14ac:dyDescent="0.25">
      <c r="B98" s="88"/>
      <c r="D98" s="76" t="str">
        <f>+'v6 picksheet'!A9</f>
        <v>Other petroleum gas</v>
      </c>
      <c r="E98" s="101"/>
      <c r="F98" s="101">
        <f>+'Data Validation'!AD41</f>
        <v>0</v>
      </c>
      <c r="G98" s="102"/>
      <c r="H98" s="103">
        <f>VLOOKUP(D98,'v6 picksheet'!$A$2:$D$18,4,FALSE)*F98</f>
        <v>0</v>
      </c>
      <c r="I98" s="106"/>
      <c r="J98" s="106"/>
      <c r="K98" s="105">
        <v>365</v>
      </c>
      <c r="L98" s="104" t="str">
        <f t="shared" si="6"/>
        <v/>
      </c>
      <c r="M98" s="89"/>
      <c r="N98" s="95"/>
      <c r="O98" s="96"/>
      <c r="P98" s="96"/>
      <c r="Q98" s="96"/>
      <c r="R98" s="97"/>
      <c r="S98" s="109"/>
      <c r="T98" s="274"/>
      <c r="V98" s="98">
        <v>4.1934451612903233E-2</v>
      </c>
      <c r="W98" s="18">
        <v>46</v>
      </c>
      <c r="X98" s="18"/>
    </row>
    <row r="99" spans="2:24" ht="12" customHeight="1" thickBot="1" x14ac:dyDescent="0.25">
      <c r="B99" s="88"/>
      <c r="D99" s="76" t="str">
        <f>+'v6 picksheet'!A10</f>
        <v>Coal</v>
      </c>
      <c r="E99" s="101"/>
      <c r="F99" s="101">
        <f>+'Data Validation'!AD42</f>
        <v>0</v>
      </c>
      <c r="G99" s="102"/>
      <c r="H99" s="103">
        <f>VLOOKUP(D99,'v6 picksheet'!$A$2:$D$18,4,FALSE)*F99</f>
        <v>0</v>
      </c>
      <c r="I99" s="106"/>
      <c r="J99" s="106"/>
      <c r="K99" s="105">
        <v>365</v>
      </c>
      <c r="L99" s="104" t="str">
        <f t="shared" si="6"/>
        <v/>
      </c>
      <c r="M99" s="89"/>
      <c r="N99" s="270" t="s">
        <v>274</v>
      </c>
      <c r="O99" s="271"/>
      <c r="P99" s="271"/>
      <c r="Q99" s="272"/>
      <c r="R99" s="49" t="e">
        <f>+R89/O83</f>
        <v>#DIV/0!</v>
      </c>
      <c r="S99" s="183" t="e">
        <f>VLOOKUP(R99,V89:X144,2,TRUE)</f>
        <v>#DIV/0!</v>
      </c>
      <c r="T99" s="183" t="e">
        <f>VLOOKUP(R99,V89:X144,3,TRUE)</f>
        <v>#DIV/0!</v>
      </c>
      <c r="V99" s="98">
        <v>5.6258064516129011E-2</v>
      </c>
      <c r="W99" s="18">
        <v>45</v>
      </c>
      <c r="X99" s="18"/>
    </row>
    <row r="100" spans="2:24" ht="12" customHeight="1" x14ac:dyDescent="0.2">
      <c r="B100" s="88"/>
      <c r="D100" s="76" t="str">
        <f>+'v6 picksheet'!A11</f>
        <v>Biodiesels</v>
      </c>
      <c r="E100" s="101"/>
      <c r="F100" s="101">
        <f>+'Data Validation'!AD43</f>
        <v>0</v>
      </c>
      <c r="G100" s="102"/>
      <c r="H100" s="103">
        <f>VLOOKUP(D100,'v6 picksheet'!$A$2:$D$18,4,FALSE)*F100</f>
        <v>0</v>
      </c>
      <c r="I100" s="106"/>
      <c r="J100" s="106"/>
      <c r="K100" s="105">
        <v>365</v>
      </c>
      <c r="L100" s="104" t="str">
        <f t="shared" si="6"/>
        <v/>
      </c>
      <c r="M100" s="89"/>
      <c r="T100" s="89"/>
      <c r="V100" s="98">
        <v>7.2315870967741933E-2</v>
      </c>
      <c r="W100" s="18">
        <v>44</v>
      </c>
      <c r="X100" s="18"/>
    </row>
    <row r="101" spans="2:24" ht="12" customHeight="1" x14ac:dyDescent="0.2">
      <c r="B101" s="88"/>
      <c r="D101" s="76" t="str">
        <f>+'v6 picksheet'!A12</f>
        <v>Landfill gas</v>
      </c>
      <c r="E101" s="101"/>
      <c r="F101" s="101">
        <f>+'Data Validation'!AD44</f>
        <v>0</v>
      </c>
      <c r="G101" s="102"/>
      <c r="H101" s="103">
        <f>VLOOKUP(D101,'v6 picksheet'!$A$2:$D$18,4,FALSE)*F101</f>
        <v>0</v>
      </c>
      <c r="I101" s="106"/>
      <c r="J101" s="106"/>
      <c r="K101" s="105">
        <v>365</v>
      </c>
      <c r="L101" s="104" t="str">
        <f t="shared" si="6"/>
        <v/>
      </c>
      <c r="M101" s="89"/>
      <c r="T101" s="89"/>
      <c r="V101" s="98">
        <v>9.0206967741935498E-2</v>
      </c>
      <c r="W101" s="18">
        <v>43</v>
      </c>
      <c r="X101" s="18"/>
    </row>
    <row r="102" spans="2:24" ht="12" customHeight="1" x14ac:dyDescent="0.2">
      <c r="B102" s="88"/>
      <c r="D102" s="76" t="str">
        <f>+'v6 picksheet'!A13</f>
        <v>Other biogas</v>
      </c>
      <c r="E102" s="101"/>
      <c r="F102" s="101">
        <f>+'Data Validation'!AD45</f>
        <v>0</v>
      </c>
      <c r="G102" s="102"/>
      <c r="H102" s="103">
        <f>VLOOKUP(D102,'v6 picksheet'!$A$2:$D$18,4,FALSE)*F102</f>
        <v>0</v>
      </c>
      <c r="I102" s="106"/>
      <c r="J102" s="106"/>
      <c r="K102" s="105">
        <v>365</v>
      </c>
      <c r="L102" s="104" t="str">
        <f t="shared" si="6"/>
        <v/>
      </c>
      <c r="M102" s="89"/>
      <c r="T102" s="89"/>
      <c r="V102" s="98">
        <v>0.11003045161290324</v>
      </c>
      <c r="W102" s="18">
        <v>42</v>
      </c>
      <c r="X102" s="18"/>
    </row>
    <row r="103" spans="2:24" ht="12" customHeight="1" x14ac:dyDescent="0.2">
      <c r="B103" s="88"/>
      <c r="D103" s="76" t="str">
        <f>+'v6 picksheet'!A14</f>
        <v>Wood</v>
      </c>
      <c r="E103" s="101"/>
      <c r="F103" s="101">
        <f>+'Data Validation'!AD46</f>
        <v>0</v>
      </c>
      <c r="G103" s="102"/>
      <c r="H103" s="103">
        <f>VLOOKUP(D103,'v6 picksheet'!$A$2:$D$18,4,FALSE)*F103</f>
        <v>0</v>
      </c>
      <c r="I103" s="106"/>
      <c r="J103" s="106"/>
      <c r="K103" s="105">
        <v>365</v>
      </c>
      <c r="L103" s="104" t="str">
        <f t="shared" si="6"/>
        <v/>
      </c>
      <c r="M103" s="89"/>
      <c r="T103" s="89"/>
      <c r="V103" s="98">
        <v>0.13188541935483869</v>
      </c>
      <c r="W103" s="18">
        <v>41</v>
      </c>
      <c r="X103" s="18"/>
    </row>
    <row r="104" spans="2:24" ht="12" customHeight="1" x14ac:dyDescent="0.2">
      <c r="B104" s="88"/>
      <c r="D104" s="76" t="str">
        <f>+'v6 picksheet'!A15</f>
        <v>Renewable heat source or renewable cooling source</v>
      </c>
      <c r="E104" s="101"/>
      <c r="F104" s="101">
        <f>+'Data Validation'!AD47</f>
        <v>0</v>
      </c>
      <c r="G104" s="102"/>
      <c r="H104" s="103">
        <f>VLOOKUP(D104,'v6 picksheet'!$A$2:$D$18,4,FALSE)*F104</f>
        <v>0</v>
      </c>
      <c r="I104" s="106"/>
      <c r="J104" s="106"/>
      <c r="K104" s="105">
        <v>365</v>
      </c>
      <c r="L104" s="104" t="str">
        <f t="shared" si="6"/>
        <v/>
      </c>
      <c r="M104" s="89"/>
      <c r="T104" s="89"/>
      <c r="V104" s="98">
        <v>0.15587096774193551</v>
      </c>
      <c r="W104" s="18">
        <v>40</v>
      </c>
      <c r="X104" s="18"/>
    </row>
    <row r="105" spans="2:24" ht="12" customHeight="1" x14ac:dyDescent="0.2">
      <c r="B105" s="88"/>
      <c r="D105" s="76" t="str">
        <f>+'v6 picksheet'!A16</f>
        <v>District heating</v>
      </c>
      <c r="E105" s="101"/>
      <c r="F105" s="101">
        <f>+'Data Validation'!AD48</f>
        <v>0</v>
      </c>
      <c r="G105" s="102"/>
      <c r="H105" s="103">
        <f>VLOOKUP(D105,'v6 picksheet'!$A$2:$D$18,4,FALSE)*F105</f>
        <v>0</v>
      </c>
      <c r="I105" s="106"/>
      <c r="J105" s="106"/>
      <c r="K105" s="105">
        <v>365</v>
      </c>
      <c r="L105" s="104" t="str">
        <f t="shared" si="6"/>
        <v/>
      </c>
      <c r="M105" s="89"/>
      <c r="T105" s="89"/>
      <c r="V105" s="98">
        <v>0.18208619354838707</v>
      </c>
      <c r="W105" s="18">
        <v>39</v>
      </c>
      <c r="X105" s="18"/>
    </row>
    <row r="106" spans="2:24" ht="12" customHeight="1" x14ac:dyDescent="0.2">
      <c r="B106" s="88"/>
      <c r="D106" s="76" t="str">
        <f>+'v6 picksheet'!A17</f>
        <v>District cooling</v>
      </c>
      <c r="E106" s="101"/>
      <c r="F106" s="101">
        <f>+'Data Validation'!AD49</f>
        <v>0</v>
      </c>
      <c r="G106" s="102"/>
      <c r="H106" s="103">
        <f>VLOOKUP(D106,'v6 picksheet'!$A$2:$D$18,4,FALSE)*F106</f>
        <v>0</v>
      </c>
      <c r="I106" s="106"/>
      <c r="J106" s="106"/>
      <c r="K106" s="105">
        <v>365</v>
      </c>
      <c r="L106" s="104" t="str">
        <f t="shared" si="6"/>
        <v/>
      </c>
      <c r="M106" s="89"/>
      <c r="T106" s="89"/>
      <c r="V106" s="98">
        <v>0.21063019354838708</v>
      </c>
      <c r="W106" s="18">
        <v>38</v>
      </c>
      <c r="X106" s="18"/>
    </row>
    <row r="107" spans="2:24" ht="12" customHeight="1" x14ac:dyDescent="0.2">
      <c r="B107" s="88"/>
      <c r="D107" s="76" t="str">
        <f>+'v6 picksheet'!A18</f>
        <v>renewable electricity generated onsite</v>
      </c>
      <c r="E107" s="101"/>
      <c r="F107" s="101">
        <f>+'Data Validation'!AD50</f>
        <v>0</v>
      </c>
      <c r="G107" s="102"/>
      <c r="H107" s="103">
        <f>VLOOKUP(D107,'v6 picksheet'!$A$2:$D$18,4,FALSE)*F107</f>
        <v>0</v>
      </c>
      <c r="I107" s="106"/>
      <c r="J107" s="106"/>
      <c r="K107" s="105">
        <v>365</v>
      </c>
      <c r="L107" s="104" t="str">
        <f t="shared" si="6"/>
        <v/>
      </c>
      <c r="M107" s="89"/>
      <c r="T107" s="89"/>
      <c r="V107" s="98">
        <v>0.24160206451612901</v>
      </c>
      <c r="W107" s="18">
        <v>37</v>
      </c>
      <c r="X107" s="18"/>
    </row>
    <row r="108" spans="2:24" ht="12" customHeight="1" x14ac:dyDescent="0.2">
      <c r="B108" s="88"/>
      <c r="D108" s="76">
        <f>+'v6 picksheet'!A19</f>
        <v>0</v>
      </c>
      <c r="E108" s="101"/>
      <c r="F108" s="103"/>
      <c r="G108" s="103"/>
      <c r="H108" s="103"/>
      <c r="I108" s="106"/>
      <c r="J108" s="106"/>
      <c r="K108" s="105">
        <v>365</v>
      </c>
      <c r="L108" s="104" t="str">
        <f t="shared" si="6"/>
        <v/>
      </c>
      <c r="M108" s="89"/>
      <c r="T108" s="89"/>
      <c r="V108" s="98">
        <v>0.27510090322580655</v>
      </c>
      <c r="W108" s="18">
        <v>36</v>
      </c>
      <c r="X108" s="18"/>
    </row>
    <row r="109" spans="2:24" ht="12" customHeight="1" x14ac:dyDescent="0.2">
      <c r="B109" s="88"/>
      <c r="D109" s="76">
        <f>+'v6 picksheet'!A20</f>
        <v>0</v>
      </c>
      <c r="E109" s="101"/>
      <c r="F109" s="103"/>
      <c r="G109" s="103"/>
      <c r="H109" s="103"/>
      <c r="I109" s="106"/>
      <c r="J109" s="106"/>
      <c r="K109" s="105">
        <v>365</v>
      </c>
      <c r="L109" s="104" t="str">
        <f t="shared" si="6"/>
        <v/>
      </c>
      <c r="M109" s="89"/>
      <c r="T109" s="89"/>
      <c r="V109" s="98">
        <v>0.31122580645161302</v>
      </c>
      <c r="W109" s="18">
        <v>35</v>
      </c>
      <c r="X109" s="18"/>
    </row>
    <row r="110" spans="2:24" ht="11.5" customHeight="1" x14ac:dyDescent="0.2">
      <c r="B110" s="88"/>
      <c r="D110" s="76">
        <f>+'v6 picksheet'!A21</f>
        <v>0</v>
      </c>
      <c r="E110" s="101"/>
      <c r="F110" s="103"/>
      <c r="G110" s="103"/>
      <c r="H110" s="103"/>
      <c r="I110" s="106"/>
      <c r="J110" s="106"/>
      <c r="K110" s="105">
        <v>365</v>
      </c>
      <c r="L110" s="104" t="str">
        <f t="shared" si="6"/>
        <v/>
      </c>
      <c r="M110" s="89"/>
      <c r="T110" s="89"/>
      <c r="V110" s="98">
        <v>0.35007587096774206</v>
      </c>
      <c r="W110" s="18">
        <v>34</v>
      </c>
      <c r="X110" s="18"/>
    </row>
    <row r="111" spans="2:24" ht="12" customHeight="1" x14ac:dyDescent="0.2">
      <c r="B111" s="88"/>
      <c r="D111" s="76">
        <f>+'v6 picksheet'!A22</f>
        <v>0</v>
      </c>
      <c r="E111" s="101"/>
      <c r="F111" s="103"/>
      <c r="G111" s="103"/>
      <c r="H111" s="103"/>
      <c r="I111" s="110"/>
      <c r="J111" s="110"/>
      <c r="K111" s="105">
        <v>365</v>
      </c>
      <c r="L111" s="104" t="str">
        <f>IF(I111="","",AVERAGE(I111,J111))</f>
        <v/>
      </c>
      <c r="M111" s="89"/>
      <c r="T111" s="89"/>
      <c r="V111" s="98">
        <v>0.39175019354838725</v>
      </c>
      <c r="W111" s="18">
        <v>33</v>
      </c>
      <c r="X111" s="18"/>
    </row>
    <row r="112" spans="2:24" ht="11.5" customHeight="1" thickBot="1" x14ac:dyDescent="0.25">
      <c r="B112" s="88"/>
      <c r="D112" s="76">
        <f>+'v6 picksheet'!A23</f>
        <v>0</v>
      </c>
      <c r="E112" s="101"/>
      <c r="F112" s="103"/>
      <c r="G112" s="103"/>
      <c r="H112" s="103"/>
      <c r="I112" s="106"/>
      <c r="J112" s="106"/>
      <c r="K112" s="105">
        <v>365</v>
      </c>
      <c r="L112" s="104" t="str">
        <f>IF(I112="","",AVERAGE(I112,J112))</f>
        <v/>
      </c>
      <c r="M112" s="89"/>
      <c r="T112" s="89"/>
      <c r="V112" s="98">
        <v>0.43634787096774191</v>
      </c>
      <c r="W112" s="18">
        <v>32</v>
      </c>
      <c r="X112" s="18"/>
    </row>
    <row r="113" spans="2:24" ht="16" thickBot="1" x14ac:dyDescent="0.25">
      <c r="B113" s="88"/>
      <c r="D113" s="76">
        <f>+'v6 picksheet'!A24</f>
        <v>0</v>
      </c>
      <c r="E113" s="101"/>
      <c r="F113" s="103"/>
      <c r="G113" s="103"/>
      <c r="H113" s="103"/>
      <c r="I113" s="104"/>
      <c r="J113" s="104"/>
      <c r="K113" s="105">
        <v>365</v>
      </c>
      <c r="L113" s="111" t="str">
        <f>IF(I113="","",AVERAGE(I113,J113))</f>
        <v/>
      </c>
      <c r="M113" s="89"/>
      <c r="T113" s="89"/>
      <c r="V113" s="98">
        <v>0.48396800000000006</v>
      </c>
      <c r="W113" s="18">
        <v>31</v>
      </c>
      <c r="X113" s="18"/>
    </row>
    <row r="114" spans="2:24" ht="11.5" customHeight="1" thickBot="1" x14ac:dyDescent="0.25">
      <c r="B114" s="88"/>
      <c r="D114" s="112" t="s">
        <v>142</v>
      </c>
      <c r="E114" s="113"/>
      <c r="F114" s="113">
        <f>SUM(F91:F107)-F108</f>
        <v>0</v>
      </c>
      <c r="G114" s="113"/>
      <c r="H114" s="113">
        <f>SUM(H91:H107)-H108</f>
        <v>0</v>
      </c>
      <c r="I114" s="114"/>
      <c r="J114" s="114"/>
      <c r="K114" s="113">
        <f>IF(ISERR(+J114-I114),"",+J114-I114)</f>
        <v>0</v>
      </c>
      <c r="L114" s="115" t="e">
        <f>SUMPRODUCT(L91:L112,H91:H112)/H114</f>
        <v>#DIV/0!</v>
      </c>
      <c r="M114" s="89"/>
      <c r="T114" s="89"/>
      <c r="V114" s="98">
        <v>0.53470967741935493</v>
      </c>
      <c r="W114" s="18">
        <v>30</v>
      </c>
      <c r="X114" s="18"/>
    </row>
    <row r="115" spans="2:24" ht="12" customHeight="1" x14ac:dyDescent="0.2">
      <c r="B115" s="88"/>
      <c r="D115" s="112" t="s">
        <v>275</v>
      </c>
      <c r="E115" s="113"/>
      <c r="F115" s="113" t="e">
        <f>+F114/+'Asset Information'!C9</f>
        <v>#DIV/0!</v>
      </c>
      <c r="G115" s="113"/>
      <c r="H115" s="113" t="e">
        <f>+H114/'Asset Information'!C9</f>
        <v>#DIV/0!</v>
      </c>
      <c r="I115" s="113"/>
      <c r="J115" s="113"/>
      <c r="K115" s="113"/>
      <c r="L115" s="116"/>
      <c r="M115" s="89"/>
      <c r="T115" s="89"/>
      <c r="V115" s="98">
        <v>0.58867199999999975</v>
      </c>
      <c r="W115" s="18">
        <v>29</v>
      </c>
      <c r="X115" s="18"/>
    </row>
    <row r="116" spans="2:24" ht="12" customHeight="1" x14ac:dyDescent="0.2">
      <c r="K116" s="117"/>
      <c r="M116" s="89"/>
      <c r="T116" s="89"/>
      <c r="V116" s="98">
        <v>0.64595406451612891</v>
      </c>
      <c r="W116" s="18">
        <v>28</v>
      </c>
      <c r="X116" s="18"/>
    </row>
    <row r="117" spans="2:24" ht="12" customHeight="1" thickBot="1" x14ac:dyDescent="0.25">
      <c r="M117" s="89"/>
      <c r="T117" s="89"/>
      <c r="V117" s="98">
        <v>0.70665496774193548</v>
      </c>
      <c r="W117" s="18">
        <v>27</v>
      </c>
      <c r="X117" s="18"/>
    </row>
    <row r="118" spans="2:24" ht="16" thickBot="1" x14ac:dyDescent="0.25">
      <c r="D118" s="118" t="s">
        <v>276</v>
      </c>
      <c r="H118" s="116"/>
      <c r="M118" s="89"/>
      <c r="T118" s="89"/>
      <c r="V118" s="98">
        <v>0.77087380645161274</v>
      </c>
      <c r="W118" s="18">
        <v>26</v>
      </c>
      <c r="X118" s="18"/>
    </row>
    <row r="119" spans="2:24" ht="16" thickBot="1" x14ac:dyDescent="0.25">
      <c r="D119" s="107" t="s">
        <v>277</v>
      </c>
      <c r="M119" s="89"/>
      <c r="T119" s="89"/>
      <c r="V119" s="98">
        <v>0.83870967741935487</v>
      </c>
      <c r="W119" s="18">
        <v>25</v>
      </c>
      <c r="X119" s="18"/>
    </row>
    <row r="120" spans="2:24" ht="16" thickBot="1" x14ac:dyDescent="0.25">
      <c r="D120" s="107" t="s">
        <v>278</v>
      </c>
      <c r="V120" s="98">
        <v>0.91026167741935493</v>
      </c>
      <c r="W120" s="18">
        <v>24</v>
      </c>
      <c r="X120" s="18"/>
    </row>
    <row r="121" spans="2:24" ht="16" thickBot="1" x14ac:dyDescent="0.25">
      <c r="D121" s="107" t="s">
        <v>279</v>
      </c>
      <c r="V121" s="98">
        <v>0.98562890322580665</v>
      </c>
      <c r="W121" s="18">
        <v>23</v>
      </c>
      <c r="X121" s="18"/>
    </row>
    <row r="122" spans="2:24" ht="16" thickBot="1" x14ac:dyDescent="0.25">
      <c r="D122" s="107" t="s">
        <v>280</v>
      </c>
      <c r="V122" s="98">
        <v>1.0649104516129035</v>
      </c>
      <c r="W122" s="18">
        <v>22</v>
      </c>
      <c r="X122" s="18"/>
    </row>
    <row r="123" spans="2:24" ht="16" thickBot="1" x14ac:dyDescent="0.25">
      <c r="D123" s="107" t="s">
        <v>281</v>
      </c>
      <c r="V123" s="98">
        <v>1.1482054193548386</v>
      </c>
      <c r="W123" s="18">
        <v>21</v>
      </c>
      <c r="X123" s="18"/>
    </row>
    <row r="124" spans="2:24" ht="16" thickBot="1" x14ac:dyDescent="0.25">
      <c r="D124" s="107" t="s">
        <v>282</v>
      </c>
      <c r="V124" s="98">
        <v>1.2356129032258063</v>
      </c>
      <c r="W124" s="18">
        <v>20</v>
      </c>
      <c r="X124" s="18"/>
    </row>
    <row r="125" spans="2:24" ht="16" thickBot="1" x14ac:dyDescent="0.25">
      <c r="D125" s="107" t="s">
        <v>283</v>
      </c>
      <c r="V125" s="98">
        <v>1.3272320000000002</v>
      </c>
      <c r="W125" s="18">
        <v>19</v>
      </c>
      <c r="X125" s="18"/>
    </row>
    <row r="126" spans="2:24" ht="16" thickBot="1" x14ac:dyDescent="0.25">
      <c r="D126" s="107" t="s">
        <v>284</v>
      </c>
      <c r="V126" s="98">
        <v>1.4231618064516129</v>
      </c>
      <c r="W126" s="18">
        <v>18</v>
      </c>
      <c r="X126" s="18"/>
    </row>
    <row r="127" spans="2:24" ht="16" thickBot="1" x14ac:dyDescent="0.25">
      <c r="D127" s="107" t="s">
        <v>285</v>
      </c>
      <c r="V127" s="98">
        <v>1.5235014193548388</v>
      </c>
      <c r="W127" s="18">
        <v>17</v>
      </c>
      <c r="X127" s="18"/>
    </row>
    <row r="128" spans="2:24" ht="16" thickBot="1" x14ac:dyDescent="0.25">
      <c r="D128" s="107" t="s">
        <v>286</v>
      </c>
      <c r="V128" s="98">
        <v>1.6283499354838711</v>
      </c>
      <c r="W128" s="18">
        <v>16</v>
      </c>
      <c r="X128" s="18"/>
    </row>
    <row r="129" spans="4:24" ht="16" thickBot="1" x14ac:dyDescent="0.25">
      <c r="D129" s="107" t="s">
        <v>287</v>
      </c>
      <c r="V129" s="98">
        <v>1.737806451612903</v>
      </c>
      <c r="W129" s="18">
        <v>15</v>
      </c>
      <c r="X129" s="18"/>
    </row>
    <row r="130" spans="4:24" ht="16" thickBot="1" x14ac:dyDescent="0.25">
      <c r="D130" s="107" t="s">
        <v>288</v>
      </c>
      <c r="V130" s="98">
        <v>1.851970064516129</v>
      </c>
      <c r="W130" s="18">
        <v>14</v>
      </c>
      <c r="X130" s="18"/>
    </row>
    <row r="131" spans="4:24" ht="16" thickBot="1" x14ac:dyDescent="0.25">
      <c r="D131" s="107" t="s">
        <v>289</v>
      </c>
      <c r="V131" s="98">
        <v>1.9709398709677417</v>
      </c>
      <c r="W131" s="18">
        <v>13</v>
      </c>
      <c r="X131" s="18"/>
    </row>
    <row r="132" spans="4:24" ht="16" thickBot="1" x14ac:dyDescent="0.25">
      <c r="D132" s="107" t="s">
        <v>290</v>
      </c>
      <c r="V132" s="98">
        <v>2.0948149677419354</v>
      </c>
      <c r="W132" s="18">
        <v>12</v>
      </c>
      <c r="X132" s="18"/>
    </row>
    <row r="133" spans="4:24" ht="16" thickBot="1" x14ac:dyDescent="0.25">
      <c r="D133" s="107" t="s">
        <v>291</v>
      </c>
      <c r="V133" s="98">
        <v>2.2236944516129031</v>
      </c>
      <c r="W133" s="18">
        <v>11</v>
      </c>
      <c r="X133" s="18"/>
    </row>
    <row r="134" spans="4:24" ht="16" thickBot="1" x14ac:dyDescent="0.25">
      <c r="D134" s="107" t="s">
        <v>292</v>
      </c>
      <c r="V134" s="98">
        <v>2.3576774193548391</v>
      </c>
      <c r="W134" s="18">
        <v>10</v>
      </c>
      <c r="X134" s="18"/>
    </row>
    <row r="135" spans="4:24" ht="16" thickBot="1" x14ac:dyDescent="0.25">
      <c r="D135" s="107" t="s">
        <v>293</v>
      </c>
      <c r="V135" s="98">
        <v>2.4968629677419343</v>
      </c>
      <c r="W135" s="18">
        <v>9</v>
      </c>
      <c r="X135" s="18"/>
    </row>
    <row r="136" spans="4:24" ht="16" thickBot="1" x14ac:dyDescent="0.25">
      <c r="D136" s="107" t="s">
        <v>294</v>
      </c>
      <c r="V136" s="98">
        <v>2.6413501935483863</v>
      </c>
      <c r="W136" s="18">
        <v>8</v>
      </c>
      <c r="X136" s="18"/>
    </row>
    <row r="137" spans="4:24" ht="16" thickBot="1" x14ac:dyDescent="0.25">
      <c r="D137" s="107" t="s">
        <v>295</v>
      </c>
      <c r="V137" s="98">
        <v>2.7912381935483861</v>
      </c>
      <c r="W137" s="18">
        <v>7</v>
      </c>
      <c r="X137" s="18"/>
    </row>
    <row r="138" spans="4:24" x14ac:dyDescent="0.2">
      <c r="V138" s="98">
        <v>2.9466260645161277</v>
      </c>
      <c r="W138" s="18">
        <v>6</v>
      </c>
      <c r="X138" s="18"/>
    </row>
    <row r="139" spans="4:24" x14ac:dyDescent="0.2">
      <c r="V139" s="98">
        <v>3.1076129032258053</v>
      </c>
      <c r="W139" s="18">
        <v>5</v>
      </c>
      <c r="X139" s="18"/>
    </row>
    <row r="140" spans="4:24" x14ac:dyDescent="0.2">
      <c r="V140" s="98">
        <v>3.2742978064516124</v>
      </c>
      <c r="W140" s="18">
        <v>4</v>
      </c>
      <c r="X140" s="18"/>
    </row>
    <row r="141" spans="4:24" x14ac:dyDescent="0.2">
      <c r="V141" s="98">
        <v>3.4467798709677417</v>
      </c>
      <c r="W141" s="18">
        <v>3</v>
      </c>
      <c r="X141" s="18"/>
    </row>
    <row r="142" spans="4:24" x14ac:dyDescent="0.2">
      <c r="V142" s="98">
        <v>3.625158193548387</v>
      </c>
      <c r="W142" s="18">
        <v>2</v>
      </c>
      <c r="X142" s="18"/>
    </row>
    <row r="143" spans="4:24" x14ac:dyDescent="0.2">
      <c r="V143" s="98">
        <v>3.8095318709677417</v>
      </c>
      <c r="W143" s="18">
        <v>1</v>
      </c>
      <c r="X143" s="18"/>
    </row>
    <row r="144" spans="4:24" x14ac:dyDescent="0.2">
      <c r="V144" s="98">
        <v>4</v>
      </c>
      <c r="W144" s="18">
        <v>0</v>
      </c>
      <c r="X144" s="18"/>
    </row>
  </sheetData>
  <mergeCells count="16">
    <mergeCell ref="N99:Q99"/>
    <mergeCell ref="T97:T98"/>
    <mergeCell ref="J89:J90"/>
    <mergeCell ref="K89:K90"/>
    <mergeCell ref="L89:L90"/>
    <mergeCell ref="D89:D90"/>
    <mergeCell ref="E89:E90"/>
    <mergeCell ref="G89:G90"/>
    <mergeCell ref="H89:H90"/>
    <mergeCell ref="N79:N80"/>
    <mergeCell ref="O79:O80"/>
    <mergeCell ref="I89:I90"/>
    <mergeCell ref="G79:G80"/>
    <mergeCell ref="H79:H80"/>
    <mergeCell ref="I79:I80"/>
    <mergeCell ref="M79:M8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5179-658C-4BB6-B94D-7D643D8FF8F4}">
  <sheetPr>
    <tabColor theme="0" tint="-0.499984740745262"/>
  </sheetPr>
  <dimension ref="A1:AC757"/>
  <sheetViews>
    <sheetView topLeftCell="A335" zoomScale="60" zoomScaleNormal="60" workbookViewId="0">
      <selection activeCell="B364" sqref="B364:C630"/>
    </sheetView>
  </sheetViews>
  <sheetFormatPr baseColWidth="10" defaultColWidth="8.83203125" defaultRowHeight="15" x14ac:dyDescent="0.2"/>
  <cols>
    <col min="2" max="2" width="38.83203125" bestFit="1" customWidth="1"/>
    <col min="3" max="9" width="8.33203125" bestFit="1" customWidth="1"/>
    <col min="22" max="22" width="16.83203125" customWidth="1"/>
    <col min="23" max="24" width="8" style="120" customWidth="1"/>
    <col min="258" max="258" width="38.83203125" bestFit="1" customWidth="1"/>
    <col min="259" max="265" width="8.33203125" bestFit="1" customWidth="1"/>
    <col min="278" max="278" width="16.83203125" customWidth="1"/>
    <col min="279" max="280" width="8" customWidth="1"/>
    <col min="514" max="514" width="38.83203125" bestFit="1" customWidth="1"/>
    <col min="515" max="521" width="8.33203125" bestFit="1" customWidth="1"/>
    <col min="534" max="534" width="16.83203125" customWidth="1"/>
    <col min="535" max="536" width="8" customWidth="1"/>
    <col min="770" max="770" width="38.83203125" bestFit="1" customWidth="1"/>
    <col min="771" max="777" width="8.33203125" bestFit="1" customWidth="1"/>
    <col min="790" max="790" width="16.83203125" customWidth="1"/>
    <col min="791" max="792" width="8" customWidth="1"/>
    <col min="1026" max="1026" width="38.83203125" bestFit="1" customWidth="1"/>
    <col min="1027" max="1033" width="8.33203125" bestFit="1" customWidth="1"/>
    <col min="1046" max="1046" width="16.83203125" customWidth="1"/>
    <col min="1047" max="1048" width="8" customWidth="1"/>
    <col min="1282" max="1282" width="38.83203125" bestFit="1" customWidth="1"/>
    <col min="1283" max="1289" width="8.33203125" bestFit="1" customWidth="1"/>
    <col min="1302" max="1302" width="16.83203125" customWidth="1"/>
    <col min="1303" max="1304" width="8" customWidth="1"/>
    <col min="1538" max="1538" width="38.83203125" bestFit="1" customWidth="1"/>
    <col min="1539" max="1545" width="8.33203125" bestFit="1" customWidth="1"/>
    <col min="1558" max="1558" width="16.83203125" customWidth="1"/>
    <col min="1559" max="1560" width="8" customWidth="1"/>
    <col min="1794" max="1794" width="38.83203125" bestFit="1" customWidth="1"/>
    <col min="1795" max="1801" width="8.33203125" bestFit="1" customWidth="1"/>
    <col min="1814" max="1814" width="16.83203125" customWidth="1"/>
    <col min="1815" max="1816" width="8" customWidth="1"/>
    <col min="2050" max="2050" width="38.83203125" bestFit="1" customWidth="1"/>
    <col min="2051" max="2057" width="8.33203125" bestFit="1" customWidth="1"/>
    <col min="2070" max="2070" width="16.83203125" customWidth="1"/>
    <col min="2071" max="2072" width="8" customWidth="1"/>
    <col min="2306" max="2306" width="38.83203125" bestFit="1" customWidth="1"/>
    <col min="2307" max="2313" width="8.33203125" bestFit="1" customWidth="1"/>
    <col min="2326" max="2326" width="16.83203125" customWidth="1"/>
    <col min="2327" max="2328" width="8" customWidth="1"/>
    <col min="2562" max="2562" width="38.83203125" bestFit="1" customWidth="1"/>
    <col min="2563" max="2569" width="8.33203125" bestFit="1" customWidth="1"/>
    <col min="2582" max="2582" width="16.83203125" customWidth="1"/>
    <col min="2583" max="2584" width="8" customWidth="1"/>
    <col min="2818" max="2818" width="38.83203125" bestFit="1" customWidth="1"/>
    <col min="2819" max="2825" width="8.33203125" bestFit="1" customWidth="1"/>
    <col min="2838" max="2838" width="16.83203125" customWidth="1"/>
    <col min="2839" max="2840" width="8" customWidth="1"/>
    <col min="3074" max="3074" width="38.83203125" bestFit="1" customWidth="1"/>
    <col min="3075" max="3081" width="8.33203125" bestFit="1" customWidth="1"/>
    <col min="3094" max="3094" width="16.83203125" customWidth="1"/>
    <col min="3095" max="3096" width="8" customWidth="1"/>
    <col min="3330" max="3330" width="38.83203125" bestFit="1" customWidth="1"/>
    <col min="3331" max="3337" width="8.33203125" bestFit="1" customWidth="1"/>
    <col min="3350" max="3350" width="16.83203125" customWidth="1"/>
    <col min="3351" max="3352" width="8" customWidth="1"/>
    <col min="3586" max="3586" width="38.83203125" bestFit="1" customWidth="1"/>
    <col min="3587" max="3593" width="8.33203125" bestFit="1" customWidth="1"/>
    <col min="3606" max="3606" width="16.83203125" customWidth="1"/>
    <col min="3607" max="3608" width="8" customWidth="1"/>
    <col min="3842" max="3842" width="38.83203125" bestFit="1" customWidth="1"/>
    <col min="3843" max="3849" width="8.33203125" bestFit="1" customWidth="1"/>
    <col min="3862" max="3862" width="16.83203125" customWidth="1"/>
    <col min="3863" max="3864" width="8" customWidth="1"/>
    <col min="4098" max="4098" width="38.83203125" bestFit="1" customWidth="1"/>
    <col min="4099" max="4105" width="8.33203125" bestFit="1" customWidth="1"/>
    <col min="4118" max="4118" width="16.83203125" customWidth="1"/>
    <col min="4119" max="4120" width="8" customWidth="1"/>
    <col min="4354" max="4354" width="38.83203125" bestFit="1" customWidth="1"/>
    <col min="4355" max="4361" width="8.33203125" bestFit="1" customWidth="1"/>
    <col min="4374" max="4374" width="16.83203125" customWidth="1"/>
    <col min="4375" max="4376" width="8" customWidth="1"/>
    <col min="4610" max="4610" width="38.83203125" bestFit="1" customWidth="1"/>
    <col min="4611" max="4617" width="8.33203125" bestFit="1" customWidth="1"/>
    <col min="4630" max="4630" width="16.83203125" customWidth="1"/>
    <col min="4631" max="4632" width="8" customWidth="1"/>
    <col min="4866" max="4866" width="38.83203125" bestFit="1" customWidth="1"/>
    <col min="4867" max="4873" width="8.33203125" bestFit="1" customWidth="1"/>
    <col min="4886" max="4886" width="16.83203125" customWidth="1"/>
    <col min="4887" max="4888" width="8" customWidth="1"/>
    <col min="5122" max="5122" width="38.83203125" bestFit="1" customWidth="1"/>
    <col min="5123" max="5129" width="8.33203125" bestFit="1" customWidth="1"/>
    <col min="5142" max="5142" width="16.83203125" customWidth="1"/>
    <col min="5143" max="5144" width="8" customWidth="1"/>
    <col min="5378" max="5378" width="38.83203125" bestFit="1" customWidth="1"/>
    <col min="5379" max="5385" width="8.33203125" bestFit="1" customWidth="1"/>
    <col min="5398" max="5398" width="16.83203125" customWidth="1"/>
    <col min="5399" max="5400" width="8" customWidth="1"/>
    <col min="5634" max="5634" width="38.83203125" bestFit="1" customWidth="1"/>
    <col min="5635" max="5641" width="8.33203125" bestFit="1" customWidth="1"/>
    <col min="5654" max="5654" width="16.83203125" customWidth="1"/>
    <col min="5655" max="5656" width="8" customWidth="1"/>
    <col min="5890" max="5890" width="38.83203125" bestFit="1" customWidth="1"/>
    <col min="5891" max="5897" width="8.33203125" bestFit="1" customWidth="1"/>
    <col min="5910" max="5910" width="16.83203125" customWidth="1"/>
    <col min="5911" max="5912" width="8" customWidth="1"/>
    <col min="6146" max="6146" width="38.83203125" bestFit="1" customWidth="1"/>
    <col min="6147" max="6153" width="8.33203125" bestFit="1" customWidth="1"/>
    <col min="6166" max="6166" width="16.83203125" customWidth="1"/>
    <col min="6167" max="6168" width="8" customWidth="1"/>
    <col min="6402" max="6402" width="38.83203125" bestFit="1" customWidth="1"/>
    <col min="6403" max="6409" width="8.33203125" bestFit="1" customWidth="1"/>
    <col min="6422" max="6422" width="16.83203125" customWidth="1"/>
    <col min="6423" max="6424" width="8" customWidth="1"/>
    <col min="6658" max="6658" width="38.83203125" bestFit="1" customWidth="1"/>
    <col min="6659" max="6665" width="8.33203125" bestFit="1" customWidth="1"/>
    <col min="6678" max="6678" width="16.83203125" customWidth="1"/>
    <col min="6679" max="6680" width="8" customWidth="1"/>
    <col min="6914" max="6914" width="38.83203125" bestFit="1" customWidth="1"/>
    <col min="6915" max="6921" width="8.33203125" bestFit="1" customWidth="1"/>
    <col min="6934" max="6934" width="16.83203125" customWidth="1"/>
    <col min="6935" max="6936" width="8" customWidth="1"/>
    <col min="7170" max="7170" width="38.83203125" bestFit="1" customWidth="1"/>
    <col min="7171" max="7177" width="8.33203125" bestFit="1" customWidth="1"/>
    <col min="7190" max="7190" width="16.83203125" customWidth="1"/>
    <col min="7191" max="7192" width="8" customWidth="1"/>
    <col min="7426" max="7426" width="38.83203125" bestFit="1" customWidth="1"/>
    <col min="7427" max="7433" width="8.33203125" bestFit="1" customWidth="1"/>
    <col min="7446" max="7446" width="16.83203125" customWidth="1"/>
    <col min="7447" max="7448" width="8" customWidth="1"/>
    <col min="7682" max="7682" width="38.83203125" bestFit="1" customWidth="1"/>
    <col min="7683" max="7689" width="8.33203125" bestFit="1" customWidth="1"/>
    <col min="7702" max="7702" width="16.83203125" customWidth="1"/>
    <col min="7703" max="7704" width="8" customWidth="1"/>
    <col min="7938" max="7938" width="38.83203125" bestFit="1" customWidth="1"/>
    <col min="7939" max="7945" width="8.33203125" bestFit="1" customWidth="1"/>
    <col min="7958" max="7958" width="16.83203125" customWidth="1"/>
    <col min="7959" max="7960" width="8" customWidth="1"/>
    <col min="8194" max="8194" width="38.83203125" bestFit="1" customWidth="1"/>
    <col min="8195" max="8201" width="8.33203125" bestFit="1" customWidth="1"/>
    <col min="8214" max="8214" width="16.83203125" customWidth="1"/>
    <col min="8215" max="8216" width="8" customWidth="1"/>
    <col min="8450" max="8450" width="38.83203125" bestFit="1" customWidth="1"/>
    <col min="8451" max="8457" width="8.33203125" bestFit="1" customWidth="1"/>
    <col min="8470" max="8470" width="16.83203125" customWidth="1"/>
    <col min="8471" max="8472" width="8" customWidth="1"/>
    <col min="8706" max="8706" width="38.83203125" bestFit="1" customWidth="1"/>
    <col min="8707" max="8713" width="8.33203125" bestFit="1" customWidth="1"/>
    <col min="8726" max="8726" width="16.83203125" customWidth="1"/>
    <col min="8727" max="8728" width="8" customWidth="1"/>
    <col min="8962" max="8962" width="38.83203125" bestFit="1" customWidth="1"/>
    <col min="8963" max="8969" width="8.33203125" bestFit="1" customWidth="1"/>
    <col min="8982" max="8982" width="16.83203125" customWidth="1"/>
    <col min="8983" max="8984" width="8" customWidth="1"/>
    <col min="9218" max="9218" width="38.83203125" bestFit="1" customWidth="1"/>
    <col min="9219" max="9225" width="8.33203125" bestFit="1" customWidth="1"/>
    <col min="9238" max="9238" width="16.83203125" customWidth="1"/>
    <col min="9239" max="9240" width="8" customWidth="1"/>
    <col min="9474" max="9474" width="38.83203125" bestFit="1" customWidth="1"/>
    <col min="9475" max="9481" width="8.33203125" bestFit="1" customWidth="1"/>
    <col min="9494" max="9494" width="16.83203125" customWidth="1"/>
    <col min="9495" max="9496" width="8" customWidth="1"/>
    <col min="9730" max="9730" width="38.83203125" bestFit="1" customWidth="1"/>
    <col min="9731" max="9737" width="8.33203125" bestFit="1" customWidth="1"/>
    <col min="9750" max="9750" width="16.83203125" customWidth="1"/>
    <col min="9751" max="9752" width="8" customWidth="1"/>
    <col min="9986" max="9986" width="38.83203125" bestFit="1" customWidth="1"/>
    <col min="9987" max="9993" width="8.33203125" bestFit="1" customWidth="1"/>
    <col min="10006" max="10006" width="16.83203125" customWidth="1"/>
    <col min="10007" max="10008" width="8" customWidth="1"/>
    <col min="10242" max="10242" width="38.83203125" bestFit="1" customWidth="1"/>
    <col min="10243" max="10249" width="8.33203125" bestFit="1" customWidth="1"/>
    <col min="10262" max="10262" width="16.83203125" customWidth="1"/>
    <col min="10263" max="10264" width="8" customWidth="1"/>
    <col min="10498" max="10498" width="38.83203125" bestFit="1" customWidth="1"/>
    <col min="10499" max="10505" width="8.33203125" bestFit="1" customWidth="1"/>
    <col min="10518" max="10518" width="16.83203125" customWidth="1"/>
    <col min="10519" max="10520" width="8" customWidth="1"/>
    <col min="10754" max="10754" width="38.83203125" bestFit="1" customWidth="1"/>
    <col min="10755" max="10761" width="8.33203125" bestFit="1" customWidth="1"/>
    <col min="10774" max="10774" width="16.83203125" customWidth="1"/>
    <col min="10775" max="10776" width="8" customWidth="1"/>
    <col min="11010" max="11010" width="38.83203125" bestFit="1" customWidth="1"/>
    <col min="11011" max="11017" width="8.33203125" bestFit="1" customWidth="1"/>
    <col min="11030" max="11030" width="16.83203125" customWidth="1"/>
    <col min="11031" max="11032" width="8" customWidth="1"/>
    <col min="11266" max="11266" width="38.83203125" bestFit="1" customWidth="1"/>
    <col min="11267" max="11273" width="8.33203125" bestFit="1" customWidth="1"/>
    <col min="11286" max="11286" width="16.83203125" customWidth="1"/>
    <col min="11287" max="11288" width="8" customWidth="1"/>
    <col min="11522" max="11522" width="38.83203125" bestFit="1" customWidth="1"/>
    <col min="11523" max="11529" width="8.33203125" bestFit="1" customWidth="1"/>
    <col min="11542" max="11542" width="16.83203125" customWidth="1"/>
    <col min="11543" max="11544" width="8" customWidth="1"/>
    <col min="11778" max="11778" width="38.83203125" bestFit="1" customWidth="1"/>
    <col min="11779" max="11785" width="8.33203125" bestFit="1" customWidth="1"/>
    <col min="11798" max="11798" width="16.83203125" customWidth="1"/>
    <col min="11799" max="11800" width="8" customWidth="1"/>
    <col min="12034" max="12034" width="38.83203125" bestFit="1" customWidth="1"/>
    <col min="12035" max="12041" width="8.33203125" bestFit="1" customWidth="1"/>
    <col min="12054" max="12054" width="16.83203125" customWidth="1"/>
    <col min="12055" max="12056" width="8" customWidth="1"/>
    <col min="12290" max="12290" width="38.83203125" bestFit="1" customWidth="1"/>
    <col min="12291" max="12297" width="8.33203125" bestFit="1" customWidth="1"/>
    <col min="12310" max="12310" width="16.83203125" customWidth="1"/>
    <col min="12311" max="12312" width="8" customWidth="1"/>
    <col min="12546" max="12546" width="38.83203125" bestFit="1" customWidth="1"/>
    <col min="12547" max="12553" width="8.33203125" bestFit="1" customWidth="1"/>
    <col min="12566" max="12566" width="16.83203125" customWidth="1"/>
    <col min="12567" max="12568" width="8" customWidth="1"/>
    <col min="12802" max="12802" width="38.83203125" bestFit="1" customWidth="1"/>
    <col min="12803" max="12809" width="8.33203125" bestFit="1" customWidth="1"/>
    <col min="12822" max="12822" width="16.83203125" customWidth="1"/>
    <col min="12823" max="12824" width="8" customWidth="1"/>
    <col min="13058" max="13058" width="38.83203125" bestFit="1" customWidth="1"/>
    <col min="13059" max="13065" width="8.33203125" bestFit="1" customWidth="1"/>
    <col min="13078" max="13078" width="16.83203125" customWidth="1"/>
    <col min="13079" max="13080" width="8" customWidth="1"/>
    <col min="13314" max="13314" width="38.83203125" bestFit="1" customWidth="1"/>
    <col min="13315" max="13321" width="8.33203125" bestFit="1" customWidth="1"/>
    <col min="13334" max="13334" width="16.83203125" customWidth="1"/>
    <col min="13335" max="13336" width="8" customWidth="1"/>
    <col min="13570" max="13570" width="38.83203125" bestFit="1" customWidth="1"/>
    <col min="13571" max="13577" width="8.33203125" bestFit="1" customWidth="1"/>
    <col min="13590" max="13590" width="16.83203125" customWidth="1"/>
    <col min="13591" max="13592" width="8" customWidth="1"/>
    <col min="13826" max="13826" width="38.83203125" bestFit="1" customWidth="1"/>
    <col min="13827" max="13833" width="8.33203125" bestFit="1" customWidth="1"/>
    <col min="13846" max="13846" width="16.83203125" customWidth="1"/>
    <col min="13847" max="13848" width="8" customWidth="1"/>
    <col min="14082" max="14082" width="38.83203125" bestFit="1" customWidth="1"/>
    <col min="14083" max="14089" width="8.33203125" bestFit="1" customWidth="1"/>
    <col min="14102" max="14102" width="16.83203125" customWidth="1"/>
    <col min="14103" max="14104" width="8" customWidth="1"/>
    <col min="14338" max="14338" width="38.83203125" bestFit="1" customWidth="1"/>
    <col min="14339" max="14345" width="8.33203125" bestFit="1" customWidth="1"/>
    <col min="14358" max="14358" width="16.83203125" customWidth="1"/>
    <col min="14359" max="14360" width="8" customWidth="1"/>
    <col min="14594" max="14594" width="38.83203125" bestFit="1" customWidth="1"/>
    <col min="14595" max="14601" width="8.33203125" bestFit="1" customWidth="1"/>
    <col min="14614" max="14614" width="16.83203125" customWidth="1"/>
    <col min="14615" max="14616" width="8" customWidth="1"/>
    <col min="14850" max="14850" width="38.83203125" bestFit="1" customWidth="1"/>
    <col min="14851" max="14857" width="8.33203125" bestFit="1" customWidth="1"/>
    <col min="14870" max="14870" width="16.83203125" customWidth="1"/>
    <col min="14871" max="14872" width="8" customWidth="1"/>
    <col min="15106" max="15106" width="38.83203125" bestFit="1" customWidth="1"/>
    <col min="15107" max="15113" width="8.33203125" bestFit="1" customWidth="1"/>
    <col min="15126" max="15126" width="16.83203125" customWidth="1"/>
    <col min="15127" max="15128" width="8" customWidth="1"/>
    <col min="15362" max="15362" width="38.83203125" bestFit="1" customWidth="1"/>
    <col min="15363" max="15369" width="8.33203125" bestFit="1" customWidth="1"/>
    <col min="15382" max="15382" width="16.83203125" customWidth="1"/>
    <col min="15383" max="15384" width="8" customWidth="1"/>
    <col min="15618" max="15618" width="38.83203125" bestFit="1" customWidth="1"/>
    <col min="15619" max="15625" width="8.33203125" bestFit="1" customWidth="1"/>
    <col min="15638" max="15638" width="16.83203125" customWidth="1"/>
    <col min="15639" max="15640" width="8" customWidth="1"/>
    <col min="15874" max="15874" width="38.83203125" bestFit="1" customWidth="1"/>
    <col min="15875" max="15881" width="8.33203125" bestFit="1" customWidth="1"/>
    <col min="15894" max="15894" width="16.83203125" customWidth="1"/>
    <col min="15895" max="15896" width="8" customWidth="1"/>
    <col min="16130" max="16130" width="38.83203125" bestFit="1" customWidth="1"/>
    <col min="16131" max="16137" width="8.33203125" bestFit="1" customWidth="1"/>
    <col min="16150" max="16150" width="16.83203125" customWidth="1"/>
    <col min="16151" max="16152" width="8" customWidth="1"/>
  </cols>
  <sheetData>
    <row r="1" spans="1:25" x14ac:dyDescent="0.2">
      <c r="A1" s="119" t="s">
        <v>296</v>
      </c>
    </row>
    <row r="2" spans="1:25" x14ac:dyDescent="0.2">
      <c r="C2" t="s">
        <v>297</v>
      </c>
      <c r="D2" t="s">
        <v>298</v>
      </c>
      <c r="E2" t="s">
        <v>299</v>
      </c>
      <c r="F2" t="s">
        <v>300</v>
      </c>
      <c r="G2" t="s">
        <v>301</v>
      </c>
      <c r="H2" t="s">
        <v>302</v>
      </c>
      <c r="I2" t="s">
        <v>303</v>
      </c>
      <c r="J2" t="s">
        <v>304</v>
      </c>
      <c r="K2" t="s">
        <v>305</v>
      </c>
      <c r="L2" t="s">
        <v>306</v>
      </c>
      <c r="M2" t="s">
        <v>307</v>
      </c>
      <c r="N2" t="s">
        <v>308</v>
      </c>
      <c r="O2" t="s">
        <v>309</v>
      </c>
      <c r="P2" t="s">
        <v>310</v>
      </c>
    </row>
    <row r="3" spans="1:25" x14ac:dyDescent="0.2">
      <c r="A3">
        <v>1</v>
      </c>
      <c r="B3" t="s">
        <v>311</v>
      </c>
      <c r="C3" s="120">
        <v>9.4121271936263291</v>
      </c>
      <c r="D3" s="120">
        <v>3.6531981719278055</v>
      </c>
      <c r="E3" s="120">
        <v>10.587418830707662</v>
      </c>
      <c r="F3" s="120">
        <v>3.6727863658791606</v>
      </c>
      <c r="G3" s="120">
        <v>7.3161904408312886</v>
      </c>
      <c r="H3" s="120">
        <v>1.7531433586463194</v>
      </c>
      <c r="I3" s="120">
        <v>98.087881211412792</v>
      </c>
      <c r="J3" s="120">
        <v>91.104690067754547</v>
      </c>
      <c r="K3" s="120">
        <v>155.08241877791832</v>
      </c>
      <c r="L3" s="120">
        <v>58.179999564018708</v>
      </c>
      <c r="M3" s="120">
        <v>57.03273659738322</v>
      </c>
      <c r="N3" s="121">
        <f>+K3+L3+M3</f>
        <v>270.29515493932024</v>
      </c>
      <c r="O3" s="121">
        <f>SUM(C3:J3)</f>
        <v>225.58743564078591</v>
      </c>
      <c r="P3">
        <v>270.29515493932024</v>
      </c>
      <c r="Q3">
        <f t="shared" ref="Q3:Q62" si="0">+A3</f>
        <v>1</v>
      </c>
      <c r="S3" s="122"/>
      <c r="T3" s="122"/>
      <c r="U3" s="122"/>
      <c r="V3" s="123" t="s">
        <v>227</v>
      </c>
      <c r="W3" s="124" t="s">
        <v>228</v>
      </c>
      <c r="X3" s="124" t="s">
        <v>229</v>
      </c>
      <c r="Y3" s="125" t="s">
        <v>239</v>
      </c>
    </row>
    <row r="4" spans="1:25" ht="30" x14ac:dyDescent="0.2">
      <c r="A4">
        <v>2</v>
      </c>
      <c r="B4" t="s">
        <v>312</v>
      </c>
      <c r="C4" s="120">
        <v>22.34911479818129</v>
      </c>
      <c r="D4" s="120">
        <v>14.548269507323461</v>
      </c>
      <c r="E4" s="120">
        <v>14.83080840971297</v>
      </c>
      <c r="F4" s="120">
        <v>15.693391333931865</v>
      </c>
      <c r="G4" s="120">
        <v>21.802999816889173</v>
      </c>
      <c r="H4" s="120">
        <v>8.3857691603419902</v>
      </c>
      <c r="I4" s="120">
        <v>55.34607645825713</v>
      </c>
      <c r="J4" s="120">
        <v>34.494526010300362</v>
      </c>
      <c r="K4" s="120">
        <v>45.142664810060808</v>
      </c>
      <c r="L4" s="120">
        <v>11.139099108976044</v>
      </c>
      <c r="M4" s="120">
        <v>2.9313418707831693</v>
      </c>
      <c r="N4" s="121">
        <f t="shared" ref="N4:N63" si="1">+K4+L4+M4</f>
        <v>59.21310578982002</v>
      </c>
      <c r="O4" s="121">
        <f t="shared" ref="O4:O63" si="2">SUM(C4:J4)</f>
        <v>187.45095549493823</v>
      </c>
      <c r="P4">
        <v>59.21310578982002</v>
      </c>
      <c r="Q4">
        <f t="shared" si="0"/>
        <v>2</v>
      </c>
      <c r="S4" s="126" t="str">
        <f>VLOOKUP(T4,$A$3:$P$63,2,FALSE)</f>
        <v>Airport terminal</v>
      </c>
      <c r="T4" s="127">
        <v>1</v>
      </c>
      <c r="U4" s="127">
        <f>+(T4-1)*10+1</f>
        <v>1</v>
      </c>
      <c r="V4" s="128" t="s">
        <v>230</v>
      </c>
      <c r="W4" s="129">
        <f>VLOOKUP(S4,$B$3:$M$63,2,FALSE)</f>
        <v>9.4121271936263291</v>
      </c>
      <c r="X4" s="129">
        <f>VLOOKUP(S4,$B$3:$M$63,10,FALSE)</f>
        <v>155.08241877791832</v>
      </c>
      <c r="Y4" s="130">
        <v>0</v>
      </c>
    </row>
    <row r="5" spans="1:25" x14ac:dyDescent="0.2">
      <c r="A5">
        <v>3</v>
      </c>
      <c r="B5" t="s">
        <v>313</v>
      </c>
      <c r="C5" s="120">
        <v>7.4857125050461564</v>
      </c>
      <c r="D5" s="120">
        <v>9.1108187343742986E-2</v>
      </c>
      <c r="E5" s="120">
        <v>123.66493052028977</v>
      </c>
      <c r="F5" s="120">
        <v>6.0418458952487173</v>
      </c>
      <c r="G5" s="120">
        <v>14.324731830811292</v>
      </c>
      <c r="H5" s="120">
        <v>1.5101361070663244</v>
      </c>
      <c r="I5" s="120">
        <v>24.628771164310908</v>
      </c>
      <c r="J5" s="120">
        <v>71.525904912796591</v>
      </c>
      <c r="K5" s="120">
        <v>283.77837904993555</v>
      </c>
      <c r="L5" s="120">
        <v>27.858950236862665</v>
      </c>
      <c r="M5" s="120">
        <v>0</v>
      </c>
      <c r="N5" s="121">
        <f t="shared" si="1"/>
        <v>311.63732928679821</v>
      </c>
      <c r="O5" s="121">
        <f t="shared" si="2"/>
        <v>249.2731411229135</v>
      </c>
      <c r="P5">
        <v>311.63732928679821</v>
      </c>
      <c r="Q5">
        <f t="shared" si="0"/>
        <v>3</v>
      </c>
      <c r="S5" s="131"/>
      <c r="T5" s="127"/>
      <c r="U5" s="127">
        <f>+(T4-1)*10+2</f>
        <v>2</v>
      </c>
      <c r="V5" s="128" t="s">
        <v>314</v>
      </c>
      <c r="W5" s="129">
        <f>VLOOKUP(S4,$B$3:$M$63,3,FALSE)</f>
        <v>3.6531981719278055</v>
      </c>
      <c r="X5" s="129"/>
      <c r="Y5" s="130">
        <v>0</v>
      </c>
    </row>
    <row r="6" spans="1:25" x14ac:dyDescent="0.2">
      <c r="A6">
        <v>4</v>
      </c>
      <c r="B6" t="s">
        <v>315</v>
      </c>
      <c r="C6" s="120">
        <v>22.34911479818129</v>
      </c>
      <c r="D6" s="120">
        <v>14.548269507323461</v>
      </c>
      <c r="E6" s="120">
        <v>14.83080840971297</v>
      </c>
      <c r="F6" s="120">
        <v>15.693391333931865</v>
      </c>
      <c r="G6" s="120">
        <v>21.802999816889173</v>
      </c>
      <c r="H6" s="120">
        <v>8.3857691603419902</v>
      </c>
      <c r="I6" s="120">
        <v>55.34607645825713</v>
      </c>
      <c r="J6" s="120">
        <v>34.494526010300362</v>
      </c>
      <c r="K6" s="120">
        <v>45.142664810060808</v>
      </c>
      <c r="L6" s="120">
        <v>11.139099108976044</v>
      </c>
      <c r="M6" s="120">
        <v>2.9313418707831693</v>
      </c>
      <c r="N6" s="121">
        <f t="shared" si="1"/>
        <v>59.21310578982002</v>
      </c>
      <c r="O6" s="121">
        <f t="shared" si="2"/>
        <v>187.45095549493823</v>
      </c>
      <c r="P6">
        <v>59.21310578982002</v>
      </c>
      <c r="Q6">
        <f t="shared" si="0"/>
        <v>4</v>
      </c>
      <c r="S6" s="131"/>
      <c r="T6" s="127"/>
      <c r="U6" s="127">
        <f>+(T4-1)*10+3</f>
        <v>3</v>
      </c>
      <c r="V6" s="128" t="s">
        <v>232</v>
      </c>
      <c r="W6" s="129">
        <f>VLOOKUP(S4,$B$3:$M$63,4,FALSE)</f>
        <v>10.587418830707662</v>
      </c>
      <c r="X6" s="129"/>
      <c r="Y6" s="130">
        <v>0</v>
      </c>
    </row>
    <row r="7" spans="1:25" x14ac:dyDescent="0.2">
      <c r="A7">
        <v>5</v>
      </c>
      <c r="B7" t="s">
        <v>316</v>
      </c>
      <c r="C7" s="120">
        <v>12.391122186971467</v>
      </c>
      <c r="D7" s="120">
        <v>5.7574714894349469E-2</v>
      </c>
      <c r="E7" s="120">
        <v>2.7359773410694102</v>
      </c>
      <c r="F7" s="120">
        <v>1.094390936427764</v>
      </c>
      <c r="G7" s="120">
        <v>6.7031444856200544</v>
      </c>
      <c r="H7" s="120">
        <v>1.9151841387485871</v>
      </c>
      <c r="I7" s="120">
        <v>16.279065179362991</v>
      </c>
      <c r="J7" s="120">
        <v>0.70809145569882126</v>
      </c>
      <c r="K7" s="120">
        <v>97.505864972363511</v>
      </c>
      <c r="L7" s="120">
        <v>7.4290182836086487</v>
      </c>
      <c r="M7" s="120">
        <v>14.858036567217297</v>
      </c>
      <c r="N7" s="121">
        <f t="shared" si="1"/>
        <v>119.79291982318945</v>
      </c>
      <c r="O7" s="121">
        <f t="shared" si="2"/>
        <v>41.88455043879344</v>
      </c>
      <c r="P7">
        <v>119.79291982318946</v>
      </c>
      <c r="Q7">
        <f t="shared" si="0"/>
        <v>5</v>
      </c>
      <c r="S7" s="131"/>
      <c r="T7" s="127"/>
      <c r="U7" s="127">
        <f>+(T4-1)*10+4</f>
        <v>4</v>
      </c>
      <c r="V7" s="128" t="s">
        <v>317</v>
      </c>
      <c r="W7" s="129">
        <f>VLOOKUP(S4,$B$3:$M$63,5,FALSE)</f>
        <v>3.6727863658791606</v>
      </c>
      <c r="X7" s="129"/>
      <c r="Y7" s="130">
        <v>0</v>
      </c>
    </row>
    <row r="8" spans="1:25" x14ac:dyDescent="0.2">
      <c r="A8">
        <v>6</v>
      </c>
      <c r="B8" t="s">
        <v>318</v>
      </c>
      <c r="C8" s="120">
        <v>11.879847867618098</v>
      </c>
      <c r="D8" s="120">
        <v>6.6795741374122336E-2</v>
      </c>
      <c r="E8" s="120">
        <v>2.4485242439194406</v>
      </c>
      <c r="F8" s="120">
        <v>0.97940969756777629</v>
      </c>
      <c r="G8" s="120">
        <v>0.13368942371800147</v>
      </c>
      <c r="H8" s="120">
        <v>3.5418392893143493</v>
      </c>
      <c r="I8" s="120">
        <v>44.728269714343739</v>
      </c>
      <c r="J8" s="120">
        <v>9.937188732492416</v>
      </c>
      <c r="K8" s="120">
        <v>69.510093279398774</v>
      </c>
      <c r="L8" s="120">
        <v>0</v>
      </c>
      <c r="M8" s="120">
        <v>0</v>
      </c>
      <c r="N8" s="121">
        <f t="shared" si="1"/>
        <v>69.510093279398774</v>
      </c>
      <c r="O8" s="121">
        <f t="shared" si="2"/>
        <v>73.715564710347934</v>
      </c>
      <c r="P8">
        <v>69.510093279398774</v>
      </c>
      <c r="Q8">
        <f t="shared" si="0"/>
        <v>6</v>
      </c>
      <c r="S8" s="131"/>
      <c r="T8" s="127"/>
      <c r="U8" s="127">
        <f>+(T4-1)*10+5</f>
        <v>5</v>
      </c>
      <c r="V8" s="128" t="s">
        <v>234</v>
      </c>
      <c r="W8" s="129">
        <f>VLOOKUP(S4,$B$3:$M$63,6,FALSE)</f>
        <v>7.3161904408312886</v>
      </c>
      <c r="X8" s="129"/>
      <c r="Y8" s="130">
        <v>0</v>
      </c>
    </row>
    <row r="9" spans="1:25" x14ac:dyDescent="0.2">
      <c r="A9">
        <v>7</v>
      </c>
      <c r="B9" t="s">
        <v>319</v>
      </c>
      <c r="C9" s="120">
        <v>12.391122186971467</v>
      </c>
      <c r="D9" s="120">
        <v>5.7574714894349469E-2</v>
      </c>
      <c r="E9" s="120">
        <v>2.7359773410694102</v>
      </c>
      <c r="F9" s="120">
        <v>1.094390936427764</v>
      </c>
      <c r="G9" s="120">
        <v>6.7031444856200544</v>
      </c>
      <c r="H9" s="120">
        <v>1.9151841387485871</v>
      </c>
      <c r="I9" s="120">
        <v>16.279065179362991</v>
      </c>
      <c r="J9" s="120">
        <v>0.70809145569882126</v>
      </c>
      <c r="K9" s="120">
        <v>97.505864972363511</v>
      </c>
      <c r="L9" s="120">
        <v>7.4290182836086487</v>
      </c>
      <c r="M9" s="120">
        <v>14.858036567217297</v>
      </c>
      <c r="N9" s="121">
        <f t="shared" si="1"/>
        <v>119.79291982318945</v>
      </c>
      <c r="O9" s="121">
        <f t="shared" si="2"/>
        <v>41.88455043879344</v>
      </c>
      <c r="P9">
        <v>119.79291982318946</v>
      </c>
      <c r="Q9">
        <f t="shared" si="0"/>
        <v>7</v>
      </c>
      <c r="S9" s="131"/>
      <c r="T9" s="127"/>
      <c r="U9" s="127">
        <f>+(T4-1)*10+6</f>
        <v>6</v>
      </c>
      <c r="V9" s="128" t="s">
        <v>235</v>
      </c>
      <c r="W9" s="129">
        <f>VLOOKUP(S4,$B$3:$M$63,7,FALSE)</f>
        <v>1.7531433586463194</v>
      </c>
      <c r="X9" s="129"/>
      <c r="Y9" s="130">
        <v>0</v>
      </c>
    </row>
    <row r="10" spans="1:25" x14ac:dyDescent="0.2">
      <c r="A10">
        <v>8</v>
      </c>
      <c r="B10" t="s">
        <v>320</v>
      </c>
      <c r="C10" s="120">
        <v>22.34911479818129</v>
      </c>
      <c r="D10" s="120">
        <v>14.548269507323461</v>
      </c>
      <c r="E10" s="120">
        <v>14.83080840971297</v>
      </c>
      <c r="F10" s="120">
        <v>15.693391333931865</v>
      </c>
      <c r="G10" s="120">
        <v>21.802999816889173</v>
      </c>
      <c r="H10" s="120">
        <v>8.3857691603419902</v>
      </c>
      <c r="I10" s="120">
        <v>55.34607645825713</v>
      </c>
      <c r="J10" s="120">
        <v>34.494526010300362</v>
      </c>
      <c r="K10" s="120">
        <v>45.142664810060808</v>
      </c>
      <c r="L10" s="120">
        <v>11.139099108976044</v>
      </c>
      <c r="M10" s="120">
        <v>2.9313418707831693</v>
      </c>
      <c r="N10" s="121">
        <f t="shared" si="1"/>
        <v>59.21310578982002</v>
      </c>
      <c r="O10" s="121">
        <f t="shared" si="2"/>
        <v>187.45095549493823</v>
      </c>
      <c r="P10">
        <v>59.21310578982002</v>
      </c>
      <c r="Q10">
        <f t="shared" si="0"/>
        <v>8</v>
      </c>
      <c r="S10" s="131"/>
      <c r="T10" s="127"/>
      <c r="U10" s="127">
        <f>+(T4-1)*10+7</f>
        <v>7</v>
      </c>
      <c r="V10" s="128" t="s">
        <v>236</v>
      </c>
      <c r="W10" s="129">
        <f>VLOOKUP(S4,$B$3:$M$63,8,FALSE)</f>
        <v>98.087881211412792</v>
      </c>
      <c r="X10" s="129">
        <f>VLOOKUP(S4,$B$3:$M$63,11,FALSE)</f>
        <v>58.179999564018708</v>
      </c>
      <c r="Y10" s="130">
        <v>0</v>
      </c>
    </row>
    <row r="11" spans="1:25" x14ac:dyDescent="0.2">
      <c r="A11">
        <v>9</v>
      </c>
      <c r="B11" t="s">
        <v>321</v>
      </c>
      <c r="C11" s="120">
        <v>2.8749139630030225</v>
      </c>
      <c r="D11" s="120">
        <v>0.12508603699697746</v>
      </c>
      <c r="E11" s="120">
        <v>3.5968117860328608</v>
      </c>
      <c r="F11" s="120">
        <v>1.4031882139671392</v>
      </c>
      <c r="G11" s="120">
        <v>15</v>
      </c>
      <c r="H11" s="120">
        <v>2</v>
      </c>
      <c r="I11" s="120">
        <v>22</v>
      </c>
      <c r="J11" s="120">
        <v>91.097099999999998</v>
      </c>
      <c r="K11" s="120">
        <v>109</v>
      </c>
      <c r="L11" s="120">
        <v>7</v>
      </c>
      <c r="M11" s="120">
        <v>12</v>
      </c>
      <c r="N11" s="121">
        <f t="shared" si="1"/>
        <v>128</v>
      </c>
      <c r="O11" s="121">
        <f t="shared" si="2"/>
        <v>138.09710000000001</v>
      </c>
      <c r="P11">
        <v>128</v>
      </c>
      <c r="Q11">
        <f t="shared" si="0"/>
        <v>9</v>
      </c>
      <c r="S11" s="131"/>
      <c r="T11" s="127"/>
      <c r="U11" s="127">
        <f>+(T4-1)*10+8</f>
        <v>8</v>
      </c>
      <c r="V11" s="128" t="s">
        <v>237</v>
      </c>
      <c r="W11" s="129"/>
      <c r="X11" s="129"/>
      <c r="Y11" s="130"/>
    </row>
    <row r="12" spans="1:25" x14ac:dyDescent="0.2">
      <c r="A12">
        <v>10</v>
      </c>
      <c r="B12" t="s">
        <v>322</v>
      </c>
      <c r="C12" s="120">
        <v>1.0903154752239506</v>
      </c>
      <c r="D12" s="120">
        <v>0.11748834265656743</v>
      </c>
      <c r="E12" s="120">
        <v>1.4378616879529977</v>
      </c>
      <c r="F12" s="120">
        <v>0.57514467518119894</v>
      </c>
      <c r="G12" s="120">
        <v>6.0390190894025899</v>
      </c>
      <c r="H12" s="120">
        <v>0.80520254525367874</v>
      </c>
      <c r="I12" s="120">
        <v>8.8572279977904653</v>
      </c>
      <c r="J12" s="120">
        <v>36.675808392614449</v>
      </c>
      <c r="K12" s="120">
        <v>73.169222537490498</v>
      </c>
      <c r="L12" s="120">
        <v>4.6989408969030588</v>
      </c>
      <c r="M12" s="120">
        <v>8.0553272518338161</v>
      </c>
      <c r="N12" s="121">
        <f t="shared" si="1"/>
        <v>85.923490686227368</v>
      </c>
      <c r="O12" s="121">
        <f t="shared" si="2"/>
        <v>55.598068206075894</v>
      </c>
      <c r="P12">
        <v>85.923490686227368</v>
      </c>
      <c r="Q12">
        <f t="shared" si="0"/>
        <v>10</v>
      </c>
      <c r="S12" s="131"/>
      <c r="T12" s="127"/>
      <c r="U12" s="127">
        <f>+(T4-1)*10+9</f>
        <v>9</v>
      </c>
      <c r="V12" s="128" t="s">
        <v>238</v>
      </c>
      <c r="W12" s="129">
        <f>VLOOKUP(S4,$B$3:$M$63,9,FALSE)</f>
        <v>91.104690067754547</v>
      </c>
      <c r="X12" s="129">
        <f>VLOOKUP(S4,$B$3:$M$63,12,FALSE)</f>
        <v>57.03273659738322</v>
      </c>
      <c r="Y12" s="130">
        <v>0</v>
      </c>
    </row>
    <row r="13" spans="1:25" x14ac:dyDescent="0.2">
      <c r="A13">
        <v>11</v>
      </c>
      <c r="B13" t="s">
        <v>323</v>
      </c>
      <c r="C13" s="120">
        <v>1.5630487580533046</v>
      </c>
      <c r="D13" s="120">
        <v>0.16832832779035586</v>
      </c>
      <c r="E13" s="120">
        <v>2.0611631974329292</v>
      </c>
      <c r="F13" s="120">
        <v>0.82446527897317146</v>
      </c>
      <c r="G13" s="120">
        <v>8.6568854292183026</v>
      </c>
      <c r="H13" s="120">
        <v>1.1542513905624403</v>
      </c>
      <c r="I13" s="120">
        <v>12.696765296186843</v>
      </c>
      <c r="J13" s="120">
        <v>52.574477175602837</v>
      </c>
      <c r="K13" s="120">
        <v>104.9156811974038</v>
      </c>
      <c r="L13" s="120">
        <v>6.7377042970809784</v>
      </c>
      <c r="M13" s="120">
        <v>11.550350223567392</v>
      </c>
      <c r="N13" s="121">
        <f t="shared" si="1"/>
        <v>123.20373571805217</v>
      </c>
      <c r="O13" s="121">
        <f t="shared" si="2"/>
        <v>79.699384853820192</v>
      </c>
      <c r="P13">
        <v>123.20373571805217</v>
      </c>
      <c r="Q13">
        <f t="shared" si="0"/>
        <v>11</v>
      </c>
      <c r="T13" s="132"/>
      <c r="U13" s="127">
        <f>+(T4-1)*10+10</f>
        <v>10</v>
      </c>
      <c r="V13" s="123" t="s">
        <v>324</v>
      </c>
      <c r="W13" s="133">
        <f>SUM(W4:W12)</f>
        <v>225.58743564078591</v>
      </c>
      <c r="X13" s="133">
        <f>SUM(X4:X12)</f>
        <v>270.29515493932024</v>
      </c>
      <c r="Y13" s="125">
        <v>0</v>
      </c>
    </row>
    <row r="14" spans="1:25" x14ac:dyDescent="0.2">
      <c r="A14">
        <v>12</v>
      </c>
      <c r="B14" t="s">
        <v>325</v>
      </c>
      <c r="C14" s="120">
        <v>2.6891318371673041</v>
      </c>
      <c r="D14" s="120">
        <v>0.28972616539401469</v>
      </c>
      <c r="E14" s="120">
        <v>3.5462595268587136</v>
      </c>
      <c r="F14" s="120">
        <v>1.4185038107434851</v>
      </c>
      <c r="G14" s="120">
        <v>14.894290012806596</v>
      </c>
      <c r="H14" s="120">
        <v>1.9859053350408793</v>
      </c>
      <c r="I14" s="120">
        <v>21.844958685449676</v>
      </c>
      <c r="J14" s="120">
        <v>90.455108448376251</v>
      </c>
      <c r="K14" s="120">
        <v>180.50886688315032</v>
      </c>
      <c r="L14" s="120">
        <v>11.592312552128918</v>
      </c>
      <c r="M14" s="120">
        <v>19.872535803649576</v>
      </c>
      <c r="N14" s="121">
        <f t="shared" si="1"/>
        <v>211.97371523892883</v>
      </c>
      <c r="O14" s="121">
        <f t="shared" si="2"/>
        <v>137.12388382183693</v>
      </c>
      <c r="P14">
        <v>211.9737152389288</v>
      </c>
      <c r="Q14">
        <f t="shared" si="0"/>
        <v>12</v>
      </c>
    </row>
    <row r="15" spans="1:25" x14ac:dyDescent="0.2">
      <c r="A15">
        <v>13</v>
      </c>
      <c r="B15" t="s">
        <v>326</v>
      </c>
      <c r="C15" s="120">
        <v>7.4857125050461564</v>
      </c>
      <c r="D15" s="120">
        <v>9.1108187343742986E-2</v>
      </c>
      <c r="E15" s="120">
        <v>123.66493052028977</v>
      </c>
      <c r="F15" s="120">
        <v>6.0418458952487173</v>
      </c>
      <c r="G15" s="120">
        <v>14.324731830811292</v>
      </c>
      <c r="H15" s="120">
        <v>1.5101361070663244</v>
      </c>
      <c r="I15" s="120">
        <v>24.628771164310908</v>
      </c>
      <c r="J15" s="120">
        <v>71.525904912796591</v>
      </c>
      <c r="K15" s="120">
        <v>283.77837904993555</v>
      </c>
      <c r="L15" s="120">
        <v>27.858950236862665</v>
      </c>
      <c r="M15" s="120">
        <v>0</v>
      </c>
      <c r="N15" s="121">
        <f t="shared" si="1"/>
        <v>311.63732928679821</v>
      </c>
      <c r="O15" s="121">
        <f t="shared" si="2"/>
        <v>249.2731411229135</v>
      </c>
      <c r="P15">
        <v>311.63732928679821</v>
      </c>
      <c r="Q15">
        <f t="shared" si="0"/>
        <v>13</v>
      </c>
      <c r="S15" s="122"/>
      <c r="T15" s="122"/>
      <c r="U15" s="122"/>
      <c r="V15" s="123" t="s">
        <v>227</v>
      </c>
      <c r="W15" s="124" t="s">
        <v>228</v>
      </c>
      <c r="X15" s="124" t="s">
        <v>229</v>
      </c>
      <c r="Y15" s="125" t="s">
        <v>239</v>
      </c>
    </row>
    <row r="16" spans="1:25" ht="60" x14ac:dyDescent="0.2">
      <c r="A16">
        <v>14</v>
      </c>
      <c r="B16" t="s">
        <v>327</v>
      </c>
      <c r="C16" s="120">
        <v>0.22615364894568479</v>
      </c>
      <c r="D16" s="120">
        <v>0.22615364894568479</v>
      </c>
      <c r="E16" s="120">
        <v>1.6153832067548914</v>
      </c>
      <c r="F16" s="120">
        <v>0.64615328270195649</v>
      </c>
      <c r="G16" s="120">
        <v>2.2615364894568475</v>
      </c>
      <c r="H16" s="120">
        <v>11.307682447284238</v>
      </c>
      <c r="I16" s="120">
        <v>27.138437873482175</v>
      </c>
      <c r="J16" s="120">
        <v>4.4926553131305011</v>
      </c>
      <c r="K16" s="120">
        <v>109.3356525113421</v>
      </c>
      <c r="L16" s="120">
        <v>15.21191687114325</v>
      </c>
      <c r="M16" s="120">
        <v>4.7537240222322659</v>
      </c>
      <c r="N16" s="121">
        <f t="shared" si="1"/>
        <v>129.30129340471763</v>
      </c>
      <c r="O16" s="121">
        <f t="shared" si="2"/>
        <v>47.914155910701979</v>
      </c>
      <c r="P16">
        <v>129.30129340471763</v>
      </c>
      <c r="Q16">
        <f t="shared" si="0"/>
        <v>14</v>
      </c>
      <c r="S16" s="126" t="str">
        <f>VLOOKUP(T16,$A$3:$P$63,2,FALSE)</f>
        <v>Airport asset common areas*</v>
      </c>
      <c r="T16" s="127">
        <f>+T4+1</f>
        <v>2</v>
      </c>
      <c r="U16" s="127">
        <f>+(T16-1)*10+1</f>
        <v>11</v>
      </c>
      <c r="V16" s="128" t="s">
        <v>230</v>
      </c>
      <c r="W16" s="129">
        <f>VLOOKUP(S16,$B$3:$M$63,2,FALSE)</f>
        <v>22.34911479818129</v>
      </c>
      <c r="X16" s="129">
        <f>VLOOKUP(S16,$B$3:$M$63,10,FALSE)</f>
        <v>45.142664810060808</v>
      </c>
      <c r="Y16" s="130">
        <v>0</v>
      </c>
    </row>
    <row r="17" spans="1:29" x14ac:dyDescent="0.2">
      <c r="A17">
        <v>15</v>
      </c>
      <c r="B17" t="s">
        <v>328</v>
      </c>
      <c r="C17" s="120">
        <v>2.5131771102109255</v>
      </c>
      <c r="D17" s="120">
        <v>7.7719089121100329E-2</v>
      </c>
      <c r="E17" s="120">
        <v>2.7759602135700279</v>
      </c>
      <c r="F17" s="120">
        <v>1.1103840854280111</v>
      </c>
      <c r="G17" s="120">
        <v>7.7726885979960789</v>
      </c>
      <c r="H17" s="120">
        <v>3.8863442989980395</v>
      </c>
      <c r="I17" s="120">
        <v>27.204410092986276</v>
      </c>
      <c r="J17" s="120">
        <v>2.5734724223915184</v>
      </c>
      <c r="K17" s="120">
        <v>101.83907179663601</v>
      </c>
      <c r="L17" s="120">
        <v>18.308147738721079</v>
      </c>
      <c r="M17" s="120">
        <v>9.1540738693605395</v>
      </c>
      <c r="N17" s="121">
        <f t="shared" si="1"/>
        <v>129.30129340471763</v>
      </c>
      <c r="O17" s="121">
        <f t="shared" si="2"/>
        <v>47.914155910701979</v>
      </c>
      <c r="P17">
        <v>129.30129340471763</v>
      </c>
      <c r="Q17">
        <f t="shared" si="0"/>
        <v>15</v>
      </c>
      <c r="S17" s="131"/>
      <c r="T17" s="127"/>
      <c r="U17" s="127">
        <f>+(T16-1)*10+2</f>
        <v>12</v>
      </c>
      <c r="V17" s="128" t="s">
        <v>314</v>
      </c>
      <c r="W17" s="129">
        <f>VLOOKUP(S16,$B$3:$M$63,3,FALSE)</f>
        <v>14.548269507323461</v>
      </c>
      <c r="X17" s="129"/>
      <c r="Y17" s="130">
        <v>0</v>
      </c>
    </row>
    <row r="18" spans="1:29" x14ac:dyDescent="0.2">
      <c r="A18">
        <v>16</v>
      </c>
      <c r="B18" t="s">
        <v>329</v>
      </c>
      <c r="C18" s="120">
        <v>13.608882716589996</v>
      </c>
      <c r="D18" s="120">
        <v>1.7056259908354172</v>
      </c>
      <c r="E18" s="120">
        <v>0.21877869582036308</v>
      </c>
      <c r="F18" s="120">
        <v>0.21877869582036308</v>
      </c>
      <c r="G18" s="120">
        <v>2.1877869582036307</v>
      </c>
      <c r="H18" s="120">
        <v>0</v>
      </c>
      <c r="I18" s="120">
        <v>24.065656540239935</v>
      </c>
      <c r="J18" s="120">
        <v>44.996870705461532</v>
      </c>
      <c r="K18" s="120">
        <v>204.86330214859197</v>
      </c>
      <c r="L18" s="120">
        <v>74.291087592346528</v>
      </c>
      <c r="M18" s="120">
        <v>18.009960628447644</v>
      </c>
      <c r="N18" s="121">
        <f t="shared" si="1"/>
        <v>297.16435036938611</v>
      </c>
      <c r="O18" s="121">
        <f t="shared" si="2"/>
        <v>87.002380302971233</v>
      </c>
      <c r="P18">
        <v>297.16435036938611</v>
      </c>
      <c r="Q18">
        <f t="shared" si="0"/>
        <v>16</v>
      </c>
      <c r="S18" s="131"/>
      <c r="T18" s="127"/>
      <c r="U18" s="127">
        <f>+(T16-1)*10+3</f>
        <v>13</v>
      </c>
      <c r="V18" s="128" t="s">
        <v>232</v>
      </c>
      <c r="W18" s="129">
        <f>VLOOKUP(S16,$B$3:$M$63,4,FALSE)</f>
        <v>14.83080840971297</v>
      </c>
      <c r="X18" s="129"/>
      <c r="Y18" s="130">
        <v>0</v>
      </c>
    </row>
    <row r="19" spans="1:29" x14ac:dyDescent="0.2">
      <c r="A19">
        <v>17</v>
      </c>
      <c r="B19" t="s">
        <v>330</v>
      </c>
      <c r="C19" s="120">
        <v>22.34911479818129</v>
      </c>
      <c r="D19" s="120">
        <v>14.548269507323461</v>
      </c>
      <c r="E19" s="120">
        <v>14.83080840971297</v>
      </c>
      <c r="F19" s="120">
        <v>15.693391333931865</v>
      </c>
      <c r="G19" s="120">
        <v>21.802999816889173</v>
      </c>
      <c r="H19" s="120">
        <v>8.3857691603419902</v>
      </c>
      <c r="I19" s="120">
        <v>55.34607645825713</v>
      </c>
      <c r="J19" s="120">
        <v>34.494526010300362</v>
      </c>
      <c r="K19" s="120">
        <v>45.142664810060808</v>
      </c>
      <c r="L19" s="120">
        <v>11.139099108976044</v>
      </c>
      <c r="M19" s="120">
        <v>2.9313418707831693</v>
      </c>
      <c r="N19" s="121">
        <f t="shared" si="1"/>
        <v>59.21310578982002</v>
      </c>
      <c r="O19" s="121">
        <f t="shared" si="2"/>
        <v>187.45095549493823</v>
      </c>
      <c r="P19">
        <v>59.21310578982002</v>
      </c>
      <c r="Q19">
        <f t="shared" si="0"/>
        <v>17</v>
      </c>
      <c r="S19" s="131"/>
      <c r="T19" s="127"/>
      <c r="U19" s="127">
        <f>+(T16-1)*10+4</f>
        <v>14</v>
      </c>
      <c r="V19" s="128" t="s">
        <v>317</v>
      </c>
      <c r="W19" s="129">
        <f>VLOOKUP(S16,$B$3:$M$63,5,FALSE)</f>
        <v>15.693391333931865</v>
      </c>
      <c r="X19" s="129"/>
      <c r="Y19" s="130">
        <v>0</v>
      </c>
    </row>
    <row r="20" spans="1:29" x14ac:dyDescent="0.2">
      <c r="A20">
        <v>18</v>
      </c>
      <c r="B20" t="s">
        <v>331</v>
      </c>
      <c r="C20" s="120">
        <v>14.963323418470729</v>
      </c>
      <c r="D20" s="120">
        <v>10.075383440819229</v>
      </c>
      <c r="E20" s="120">
        <v>25.27386312767598</v>
      </c>
      <c r="F20" s="120">
        <v>10.075383440819229</v>
      </c>
      <c r="G20" s="120">
        <v>20.150668940668702</v>
      </c>
      <c r="H20" s="120">
        <v>12.719985506191737</v>
      </c>
      <c r="I20" s="120">
        <v>52.662761497249569</v>
      </c>
      <c r="J20" s="120">
        <v>49.499855819924193</v>
      </c>
      <c r="K20" s="120">
        <v>227.06004524595664</v>
      </c>
      <c r="L20" s="120">
        <v>0</v>
      </c>
      <c r="M20" s="120">
        <v>21.180401765874997</v>
      </c>
      <c r="N20" s="121">
        <f t="shared" si="1"/>
        <v>248.24044701183163</v>
      </c>
      <c r="O20" s="121">
        <f t="shared" si="2"/>
        <v>195.42122519181936</v>
      </c>
      <c r="P20">
        <v>248.24044701183166</v>
      </c>
      <c r="Q20">
        <f t="shared" si="0"/>
        <v>18</v>
      </c>
      <c r="S20" s="131"/>
      <c r="T20" s="127"/>
      <c r="U20" s="127">
        <f>+(T16-1)*10+5</f>
        <v>15</v>
      </c>
      <c r="V20" s="128" t="s">
        <v>234</v>
      </c>
      <c r="W20" s="129">
        <f>VLOOKUP(S16,$B$3:$M$63,6,FALSE)</f>
        <v>21.802999816889173</v>
      </c>
      <c r="X20" s="129"/>
      <c r="Y20" s="130">
        <v>0</v>
      </c>
    </row>
    <row r="21" spans="1:29" x14ac:dyDescent="0.2">
      <c r="A21">
        <v>19</v>
      </c>
      <c r="B21" t="s">
        <v>332</v>
      </c>
      <c r="C21" s="120">
        <v>8.0548615031623481</v>
      </c>
      <c r="D21" s="120">
        <v>4.0274307515811743E-2</v>
      </c>
      <c r="E21" s="120">
        <v>8.0548615031623481</v>
      </c>
      <c r="F21" s="120">
        <v>4.0274307515811743E-2</v>
      </c>
      <c r="G21" s="120">
        <v>12.082292254743521</v>
      </c>
      <c r="H21" s="120">
        <v>4.027430751581174</v>
      </c>
      <c r="I21" s="120">
        <v>12.082292254743521</v>
      </c>
      <c r="J21" s="120">
        <v>221.50869133696457</v>
      </c>
      <c r="K21" s="120">
        <v>21.270630309112239</v>
      </c>
      <c r="L21" s="120">
        <v>21.270630309112239</v>
      </c>
      <c r="M21" s="120">
        <v>241.06714350327204</v>
      </c>
      <c r="N21" s="121">
        <f t="shared" si="1"/>
        <v>283.60840412149651</v>
      </c>
      <c r="O21" s="121">
        <f t="shared" si="2"/>
        <v>265.89097821938913</v>
      </c>
      <c r="P21">
        <v>283.60840412149651</v>
      </c>
      <c r="Q21">
        <f t="shared" si="0"/>
        <v>19</v>
      </c>
      <c r="S21" s="131"/>
      <c r="T21" s="127"/>
      <c r="U21" s="127">
        <f>+(T16-1)*10+6</f>
        <v>16</v>
      </c>
      <c r="V21" s="128" t="s">
        <v>235</v>
      </c>
      <c r="W21" s="129">
        <f>VLOOKUP(S16,$B$3:$M$63,7,FALSE)</f>
        <v>8.3857691603419902</v>
      </c>
      <c r="X21" s="129"/>
      <c r="Y21" s="130">
        <v>0</v>
      </c>
    </row>
    <row r="22" spans="1:29" x14ac:dyDescent="0.2">
      <c r="A22">
        <v>20</v>
      </c>
      <c r="B22" t="s">
        <v>333</v>
      </c>
      <c r="C22" s="120">
        <v>5.3269409829959535</v>
      </c>
      <c r="D22" s="120">
        <v>0.29905465231507339</v>
      </c>
      <c r="E22" s="120">
        <v>9.6566813853494278</v>
      </c>
      <c r="F22" s="120">
        <v>10.596902901770267</v>
      </c>
      <c r="G22" s="120">
        <v>42.7575668283638</v>
      </c>
      <c r="H22" s="120">
        <v>1.1251991270622053</v>
      </c>
      <c r="I22" s="120">
        <v>30.380376430679544</v>
      </c>
      <c r="J22" s="120">
        <v>0</v>
      </c>
      <c r="K22" s="120">
        <v>169.26246152690649</v>
      </c>
      <c r="L22" s="120">
        <v>6.5100946741117873</v>
      </c>
      <c r="M22" s="120">
        <v>6.5100946741117873</v>
      </c>
      <c r="N22" s="121">
        <f t="shared" si="1"/>
        <v>182.28265087513009</v>
      </c>
      <c r="O22" s="121">
        <f t="shared" si="2"/>
        <v>100.14272230853628</v>
      </c>
      <c r="P22">
        <v>182.28265087513006</v>
      </c>
      <c r="Q22">
        <f t="shared" si="0"/>
        <v>20</v>
      </c>
      <c r="S22" s="131"/>
      <c r="T22" s="127"/>
      <c r="U22" s="127">
        <f>+(T16-1)*10+7</f>
        <v>17</v>
      </c>
      <c r="V22" s="128" t="s">
        <v>236</v>
      </c>
      <c r="W22" s="129">
        <f>VLOOKUP(S16,$B$3:$M$63,8,FALSE)</f>
        <v>55.34607645825713</v>
      </c>
      <c r="X22" s="129">
        <f>VLOOKUP(S16,$B$3:$M$63,11,FALSE)</f>
        <v>11.139099108976044</v>
      </c>
      <c r="Y22" s="130">
        <v>0</v>
      </c>
    </row>
    <row r="23" spans="1:29" x14ac:dyDescent="0.2">
      <c r="A23">
        <v>21</v>
      </c>
      <c r="B23" t="s">
        <v>334</v>
      </c>
      <c r="C23" s="120">
        <v>7.2078826171901813</v>
      </c>
      <c r="D23" s="120">
        <v>0.92898542316771904</v>
      </c>
      <c r="E23" s="120">
        <v>7.9423261895923281</v>
      </c>
      <c r="F23" s="120">
        <v>0.19454185076557182</v>
      </c>
      <c r="G23" s="120">
        <v>12.20530206053685</v>
      </c>
      <c r="H23" s="120">
        <v>4.06843402017895</v>
      </c>
      <c r="I23" s="120">
        <v>12.20530206053685</v>
      </c>
      <c r="J23" s="120">
        <v>223.76387110984226</v>
      </c>
      <c r="K23" s="120">
        <v>20.872475724859093</v>
      </c>
      <c r="L23" s="120">
        <v>20.872475724859093</v>
      </c>
      <c r="M23" s="120">
        <v>236.55472488173638</v>
      </c>
      <c r="N23" s="121">
        <f t="shared" si="1"/>
        <v>278.29967633145458</v>
      </c>
      <c r="O23" s="121">
        <f t="shared" si="2"/>
        <v>268.51664533181071</v>
      </c>
      <c r="P23">
        <v>278.29967633145458</v>
      </c>
      <c r="Q23">
        <f t="shared" si="0"/>
        <v>21</v>
      </c>
      <c r="S23" s="131"/>
      <c r="T23" s="127"/>
      <c r="U23" s="127">
        <f>+(T16-1)*10+8</f>
        <v>18</v>
      </c>
      <c r="V23" s="128" t="s">
        <v>237</v>
      </c>
      <c r="W23" s="129"/>
      <c r="X23" s="129"/>
      <c r="Y23" s="130"/>
    </row>
    <row r="24" spans="1:29" x14ac:dyDescent="0.2">
      <c r="A24">
        <v>22</v>
      </c>
      <c r="B24" t="s">
        <v>335</v>
      </c>
      <c r="C24" s="120">
        <v>22.34911479818129</v>
      </c>
      <c r="D24" s="120">
        <v>14.548269507323461</v>
      </c>
      <c r="E24" s="120">
        <v>14.83080840971297</v>
      </c>
      <c r="F24" s="120">
        <v>15.693391333931865</v>
      </c>
      <c r="G24" s="120">
        <v>21.802999816889173</v>
      </c>
      <c r="H24" s="120">
        <v>8.3857691603419902</v>
      </c>
      <c r="I24" s="120">
        <v>55.34607645825713</v>
      </c>
      <c r="J24" s="120">
        <v>34.494526010300362</v>
      </c>
      <c r="K24" s="120">
        <v>45.142664810060808</v>
      </c>
      <c r="L24" s="120">
        <v>11.139099108976044</v>
      </c>
      <c r="M24" s="120">
        <v>2.9313418707831693</v>
      </c>
      <c r="N24" s="121">
        <f t="shared" si="1"/>
        <v>59.21310578982002</v>
      </c>
      <c r="O24" s="121">
        <f t="shared" si="2"/>
        <v>187.45095549493823</v>
      </c>
      <c r="P24">
        <v>59.21310578982002</v>
      </c>
      <c r="Q24">
        <f t="shared" si="0"/>
        <v>22</v>
      </c>
      <c r="S24" s="131"/>
      <c r="T24" s="127"/>
      <c r="U24" s="127">
        <f>+(T16-1)*10+9</f>
        <v>19</v>
      </c>
      <c r="V24" s="128" t="s">
        <v>238</v>
      </c>
      <c r="W24" s="129">
        <f>VLOOKUP(S16,$B$3:$M$63,9,FALSE)</f>
        <v>34.494526010300362</v>
      </c>
      <c r="X24" s="129">
        <f>VLOOKUP(S16,$B$3:$M$63,12,FALSE)</f>
        <v>2.9313418707831693</v>
      </c>
      <c r="Y24" s="130">
        <v>0</v>
      </c>
    </row>
    <row r="25" spans="1:29" x14ac:dyDescent="0.2">
      <c r="A25">
        <v>23</v>
      </c>
      <c r="B25" t="s">
        <v>336</v>
      </c>
      <c r="C25" s="120">
        <v>5.6116191228877197</v>
      </c>
      <c r="D25" s="120">
        <v>0.41824339828056772</v>
      </c>
      <c r="E25" s="120">
        <v>4.4847029624766002</v>
      </c>
      <c r="F25" s="120">
        <v>1.79388118499064</v>
      </c>
      <c r="G25" s="120">
        <v>0.83648679656113545</v>
      </c>
      <c r="H25" s="120">
        <v>6.1680810664718173</v>
      </c>
      <c r="I25" s="120">
        <v>51.489681958727097</v>
      </c>
      <c r="J25" s="120">
        <v>47.686743540606187</v>
      </c>
      <c r="K25" s="120">
        <v>173.8931143539719</v>
      </c>
      <c r="L25" s="120">
        <v>27.554504071811294</v>
      </c>
      <c r="M25" s="120">
        <v>6.9585044186268057</v>
      </c>
      <c r="N25" s="121">
        <f t="shared" si="1"/>
        <v>208.40612284440999</v>
      </c>
      <c r="O25" s="121">
        <f t="shared" si="2"/>
        <v>118.48944003100176</v>
      </c>
      <c r="P25">
        <v>208.40612284440999</v>
      </c>
      <c r="Q25">
        <f t="shared" si="0"/>
        <v>23</v>
      </c>
      <c r="T25" s="132"/>
      <c r="U25" s="127">
        <f>+(T16-1)*10+10</f>
        <v>20</v>
      </c>
      <c r="V25" s="123" t="s">
        <v>324</v>
      </c>
      <c r="W25" s="133">
        <f>SUM(W16:W24)</f>
        <v>187.45095549493823</v>
      </c>
      <c r="X25" s="133">
        <f>SUM(X16:X24)</f>
        <v>59.21310578982002</v>
      </c>
      <c r="Y25" s="125">
        <v>0</v>
      </c>
    </row>
    <row r="26" spans="1:29" x14ac:dyDescent="0.2">
      <c r="A26">
        <v>24</v>
      </c>
      <c r="B26" t="s">
        <v>337</v>
      </c>
      <c r="C26" s="120">
        <v>0.65564359366839942</v>
      </c>
      <c r="D26" s="120">
        <v>2.0233867403124695</v>
      </c>
      <c r="E26" s="120">
        <v>7.3673334184473891</v>
      </c>
      <c r="F26" s="120">
        <v>7.3673334184473891</v>
      </c>
      <c r="G26" s="120">
        <v>32.148364007770425</v>
      </c>
      <c r="H26" s="120">
        <v>4.0185455009713031</v>
      </c>
      <c r="I26" s="120">
        <v>33.487879174760863</v>
      </c>
      <c r="J26" s="120">
        <v>48.222546011655638</v>
      </c>
      <c r="K26" s="120">
        <v>192.93706156342333</v>
      </c>
      <c r="L26" s="120">
        <v>67.788697306067661</v>
      </c>
      <c r="M26" s="120">
        <v>79.521356455194748</v>
      </c>
      <c r="N26" s="121">
        <f t="shared" si="1"/>
        <v>340.24711532468569</v>
      </c>
      <c r="O26" s="121">
        <f t="shared" si="2"/>
        <v>135.29103186603388</v>
      </c>
      <c r="P26">
        <v>340.24711532468575</v>
      </c>
      <c r="Q26">
        <f t="shared" si="0"/>
        <v>24</v>
      </c>
      <c r="T26" s="132"/>
      <c r="U26" s="132"/>
      <c r="V26" s="132"/>
      <c r="W26" s="132"/>
      <c r="X26" s="132"/>
      <c r="Y26" s="132"/>
      <c r="Z26" s="132"/>
      <c r="AA26" s="132"/>
      <c r="AB26" s="132"/>
      <c r="AC26" s="132"/>
    </row>
    <row r="27" spans="1:29" x14ac:dyDescent="0.2">
      <c r="A27">
        <v>25</v>
      </c>
      <c r="B27" t="s">
        <v>338</v>
      </c>
      <c r="C27" s="120">
        <v>1.3353827170446972</v>
      </c>
      <c r="D27" s="120">
        <v>1.343647616936172</v>
      </c>
      <c r="E27" s="120">
        <v>7.3673334184473891</v>
      </c>
      <c r="F27" s="120">
        <v>7.3673334184473891</v>
      </c>
      <c r="G27" s="120">
        <v>32.148364007770425</v>
      </c>
      <c r="H27" s="120">
        <v>4.0185455009713031</v>
      </c>
      <c r="I27" s="120">
        <v>33.487879174760863</v>
      </c>
      <c r="J27" s="120">
        <v>48.222546011655638</v>
      </c>
      <c r="K27" s="120">
        <v>192.93706156342333</v>
      </c>
      <c r="L27" s="120">
        <v>67.788697306067661</v>
      </c>
      <c r="M27" s="120">
        <v>79.521356455194748</v>
      </c>
      <c r="N27" s="121">
        <f t="shared" si="1"/>
        <v>340.24711532468569</v>
      </c>
      <c r="O27" s="121">
        <f t="shared" si="2"/>
        <v>135.29103186603388</v>
      </c>
      <c r="P27">
        <v>340.24711532468575</v>
      </c>
      <c r="Q27">
        <f t="shared" si="0"/>
        <v>25</v>
      </c>
      <c r="S27" s="122"/>
      <c r="T27" s="122"/>
      <c r="U27" s="122"/>
      <c r="V27" s="123" t="s">
        <v>227</v>
      </c>
      <c r="W27" s="124" t="s">
        <v>228</v>
      </c>
      <c r="X27" s="124" t="s">
        <v>229</v>
      </c>
      <c r="Y27" s="125" t="s">
        <v>239</v>
      </c>
    </row>
    <row r="28" spans="1:29" x14ac:dyDescent="0.2">
      <c r="A28">
        <v>26</v>
      </c>
      <c r="B28" t="s">
        <v>339</v>
      </c>
      <c r="C28" s="120">
        <v>1.3353827170446972</v>
      </c>
      <c r="D28" s="120">
        <v>1.343647616936172</v>
      </c>
      <c r="E28" s="120">
        <v>7.3673334184473891</v>
      </c>
      <c r="F28" s="120">
        <v>7.3673334184473891</v>
      </c>
      <c r="G28" s="120">
        <v>32.148364007770425</v>
      </c>
      <c r="H28" s="120">
        <v>4.0185455009713031</v>
      </c>
      <c r="I28" s="120">
        <v>33.487879174760863</v>
      </c>
      <c r="J28" s="120">
        <v>48.222546011655638</v>
      </c>
      <c r="K28" s="120">
        <v>192.93706156342333</v>
      </c>
      <c r="L28" s="120">
        <v>67.788697306067661</v>
      </c>
      <c r="M28" s="120">
        <v>79.521356455194748</v>
      </c>
      <c r="N28" s="121">
        <f t="shared" si="1"/>
        <v>340.24711532468569</v>
      </c>
      <c r="O28" s="121">
        <f t="shared" si="2"/>
        <v>135.29103186603388</v>
      </c>
      <c r="P28">
        <v>340.24711532468575</v>
      </c>
      <c r="Q28">
        <f t="shared" si="0"/>
        <v>26</v>
      </c>
      <c r="S28" s="126" t="str">
        <f>VLOOKUP(T28,$A$3:$P$63,2,FALSE)</f>
        <v>Laboratory</v>
      </c>
      <c r="T28" s="127">
        <f>+T16+1</f>
        <v>3</v>
      </c>
      <c r="U28" s="127">
        <f>+(T28-1)*10+1</f>
        <v>21</v>
      </c>
      <c r="V28" s="128" t="s">
        <v>230</v>
      </c>
      <c r="W28" s="129">
        <f>VLOOKUP(S28,$B$3:$M$63,2,FALSE)</f>
        <v>7.4857125050461564</v>
      </c>
      <c r="X28" s="129">
        <f>VLOOKUP(S28,$B$3:$M$63,10,FALSE)</f>
        <v>283.77837904993555</v>
      </c>
      <c r="Y28" s="130">
        <v>0</v>
      </c>
    </row>
    <row r="29" spans="1:29" x14ac:dyDescent="0.2">
      <c r="A29">
        <v>27</v>
      </c>
      <c r="B29" t="s">
        <v>340</v>
      </c>
      <c r="C29" s="120">
        <v>0.65564359366839942</v>
      </c>
      <c r="D29" s="120">
        <v>2.0233867403124695</v>
      </c>
      <c r="E29" s="120">
        <v>7.3673334184473891</v>
      </c>
      <c r="F29" s="120">
        <v>7.3673334184473891</v>
      </c>
      <c r="G29" s="120">
        <v>32.148364007770425</v>
      </c>
      <c r="H29" s="120">
        <v>4.0185455009713031</v>
      </c>
      <c r="I29" s="120">
        <v>33.487879174760863</v>
      </c>
      <c r="J29" s="120">
        <v>48.222546011655638</v>
      </c>
      <c r="K29" s="120">
        <v>192.93706156342333</v>
      </c>
      <c r="L29" s="120">
        <v>67.788697306067661</v>
      </c>
      <c r="M29" s="120">
        <v>79.521356455194748</v>
      </c>
      <c r="N29" s="121">
        <f t="shared" si="1"/>
        <v>340.24711532468569</v>
      </c>
      <c r="O29" s="121">
        <f t="shared" si="2"/>
        <v>135.29103186603388</v>
      </c>
      <c r="P29">
        <v>340.24711532468575</v>
      </c>
      <c r="Q29">
        <f t="shared" si="0"/>
        <v>27</v>
      </c>
      <c r="S29" s="131"/>
      <c r="T29" s="127"/>
      <c r="U29" s="127">
        <f>+(T28-1)*10+2</f>
        <v>22</v>
      </c>
      <c r="V29" s="128" t="s">
        <v>314</v>
      </c>
      <c r="W29" s="129">
        <f>VLOOKUP(S28,$B$3:$M$63,3,FALSE)</f>
        <v>9.1108187343742986E-2</v>
      </c>
      <c r="X29" s="129"/>
      <c r="Y29" s="130">
        <v>0</v>
      </c>
    </row>
    <row r="30" spans="1:29" x14ac:dyDescent="0.2">
      <c r="A30">
        <v>28</v>
      </c>
      <c r="B30" t="s">
        <v>341</v>
      </c>
      <c r="C30" s="120">
        <v>7.2937832066955046</v>
      </c>
      <c r="D30" s="120">
        <v>0.27817145881457933</v>
      </c>
      <c r="E30" s="120">
        <v>4.0883518344294432</v>
      </c>
      <c r="F30" s="120">
        <v>1.6353407337717774</v>
      </c>
      <c r="G30" s="120">
        <v>0.55634291762915866</v>
      </c>
      <c r="H30" s="120">
        <v>2.9640550799613465</v>
      </c>
      <c r="I30" s="120">
        <v>33.560299004391041</v>
      </c>
      <c r="J30" s="120">
        <v>27.126541489586117</v>
      </c>
      <c r="K30" s="120">
        <v>140.05285683516016</v>
      </c>
      <c r="L30" s="120">
        <v>22.923544344780851</v>
      </c>
      <c r="M30" s="120">
        <v>0</v>
      </c>
      <c r="N30" s="121">
        <f t="shared" si="1"/>
        <v>162.97640117994101</v>
      </c>
      <c r="O30" s="121">
        <f t="shared" si="2"/>
        <v>77.502885725278972</v>
      </c>
      <c r="P30">
        <v>162.97640117994101</v>
      </c>
      <c r="Q30">
        <f t="shared" si="0"/>
        <v>28</v>
      </c>
      <c r="S30" s="131"/>
      <c r="T30" s="127"/>
      <c r="U30" s="127">
        <f>+(T28-1)*10+3</f>
        <v>23</v>
      </c>
      <c r="V30" s="128" t="s">
        <v>232</v>
      </c>
      <c r="W30" s="129">
        <f>VLOOKUP(S28,$B$3:$M$63,4,FALSE)</f>
        <v>123.66493052028977</v>
      </c>
      <c r="X30" s="129"/>
      <c r="Y30" s="130">
        <v>0</v>
      </c>
    </row>
    <row r="31" spans="1:29" x14ac:dyDescent="0.2">
      <c r="A31">
        <v>29</v>
      </c>
      <c r="B31" t="s">
        <v>342</v>
      </c>
      <c r="C31" s="120">
        <v>22.34911479818129</v>
      </c>
      <c r="D31" s="120">
        <v>14.548269507323461</v>
      </c>
      <c r="E31" s="120">
        <v>14.83080840971297</v>
      </c>
      <c r="F31" s="120">
        <v>15.693391333931865</v>
      </c>
      <c r="G31" s="120">
        <v>21.802999816889173</v>
      </c>
      <c r="H31" s="120">
        <v>8.3857691603419902</v>
      </c>
      <c r="I31" s="120">
        <v>55.34607645825713</v>
      </c>
      <c r="J31" s="120">
        <v>34.494526010300362</v>
      </c>
      <c r="K31" s="120">
        <v>45.142664810060808</v>
      </c>
      <c r="L31" s="120">
        <v>11.139099108976044</v>
      </c>
      <c r="M31" s="120">
        <v>2.9313418707831693</v>
      </c>
      <c r="N31" s="121">
        <f t="shared" si="1"/>
        <v>59.21310578982002</v>
      </c>
      <c r="O31" s="121">
        <f t="shared" si="2"/>
        <v>187.45095549493823</v>
      </c>
      <c r="P31">
        <v>59.21310578982002</v>
      </c>
      <c r="Q31">
        <f t="shared" si="0"/>
        <v>29</v>
      </c>
      <c r="S31" s="131"/>
      <c r="T31" s="127"/>
      <c r="U31" s="127">
        <f>+(T28-1)*10+4</f>
        <v>24</v>
      </c>
      <c r="V31" s="128" t="s">
        <v>317</v>
      </c>
      <c r="W31" s="129">
        <f>VLOOKUP(S28,$B$3:$M$63,5,FALSE)</f>
        <v>6.0418458952487173</v>
      </c>
      <c r="X31" s="129"/>
      <c r="Y31" s="130">
        <v>0</v>
      </c>
    </row>
    <row r="32" spans="1:29" x14ac:dyDescent="0.2">
      <c r="A32">
        <v>30</v>
      </c>
      <c r="B32" s="50" t="s">
        <v>343</v>
      </c>
      <c r="C32" s="120">
        <v>0</v>
      </c>
      <c r="D32" s="120">
        <v>9.3188854773806593</v>
      </c>
      <c r="E32" s="120">
        <v>5.0830234432024683</v>
      </c>
      <c r="F32" s="120">
        <v>4.2358620341781901</v>
      </c>
      <c r="G32" s="120">
        <v>27.956656432141976</v>
      </c>
      <c r="H32" s="120">
        <v>4.6594427386903297</v>
      </c>
      <c r="I32" s="120">
        <v>18.637770954761319</v>
      </c>
      <c r="J32" s="120">
        <v>46.594427386903298</v>
      </c>
      <c r="K32" s="120">
        <v>109.12939779115942</v>
      </c>
      <c r="L32" s="120">
        <v>48.501954573848636</v>
      </c>
      <c r="M32" s="120">
        <v>48.501954573848636</v>
      </c>
      <c r="N32" s="121">
        <f t="shared" si="1"/>
        <v>206.13330693885672</v>
      </c>
      <c r="O32" s="121">
        <f t="shared" si="2"/>
        <v>116.48606846725824</v>
      </c>
      <c r="P32">
        <v>206.13330693885669</v>
      </c>
      <c r="Q32">
        <f t="shared" si="0"/>
        <v>30</v>
      </c>
      <c r="S32" s="131"/>
      <c r="T32" s="127"/>
      <c r="U32" s="127">
        <f>+(T28-1)*10+5</f>
        <v>25</v>
      </c>
      <c r="V32" s="128" t="s">
        <v>234</v>
      </c>
      <c r="W32" s="129">
        <f>VLOOKUP(S28,$B$3:$M$63,6,FALSE)</f>
        <v>14.324731830811292</v>
      </c>
      <c r="X32" s="129"/>
      <c r="Y32" s="130">
        <v>0</v>
      </c>
    </row>
    <row r="33" spans="1:25" x14ac:dyDescent="0.2">
      <c r="A33">
        <v>31</v>
      </c>
      <c r="B33" t="s">
        <v>344</v>
      </c>
      <c r="C33" s="120">
        <v>22.34911479818129</v>
      </c>
      <c r="D33" s="120">
        <v>14.548269507323461</v>
      </c>
      <c r="E33" s="120">
        <v>14.83080840971297</v>
      </c>
      <c r="F33" s="120">
        <v>15.693391333931865</v>
      </c>
      <c r="G33" s="120">
        <v>21.802999816889173</v>
      </c>
      <c r="H33" s="120">
        <v>8.3857691603419902</v>
      </c>
      <c r="I33" s="120">
        <v>55.34607645825713</v>
      </c>
      <c r="J33" s="120">
        <v>34.494526010300362</v>
      </c>
      <c r="K33" s="120">
        <v>45.142664810060808</v>
      </c>
      <c r="L33" s="120">
        <v>11.139099108976044</v>
      </c>
      <c r="M33" s="120">
        <v>2.9313418707831693</v>
      </c>
      <c r="N33" s="121">
        <f t="shared" si="1"/>
        <v>59.21310578982002</v>
      </c>
      <c r="O33" s="121">
        <f t="shared" si="2"/>
        <v>187.45095549493823</v>
      </c>
      <c r="P33">
        <v>59.21310578982002</v>
      </c>
      <c r="Q33">
        <f t="shared" si="0"/>
        <v>31</v>
      </c>
      <c r="S33" s="131"/>
      <c r="T33" s="127"/>
      <c r="U33" s="127">
        <f>+(T28-1)*10+6</f>
        <v>26</v>
      </c>
      <c r="V33" s="128" t="s">
        <v>235</v>
      </c>
      <c r="W33" s="129">
        <f>VLOOKUP(S28,$B$3:$M$63,7,FALSE)</f>
        <v>1.5101361070663244</v>
      </c>
      <c r="X33" s="129"/>
      <c r="Y33" s="130">
        <v>0</v>
      </c>
    </row>
    <row r="34" spans="1:25" x14ac:dyDescent="0.2">
      <c r="A34">
        <v>32</v>
      </c>
      <c r="B34" t="s">
        <v>345</v>
      </c>
      <c r="C34" s="120">
        <v>15.372152306506878</v>
      </c>
      <c r="D34" s="120">
        <v>1.0142439441979234</v>
      </c>
      <c r="E34" s="120">
        <v>2.6439984184024117</v>
      </c>
      <c r="F34" s="120">
        <v>1.4021805680155623</v>
      </c>
      <c r="G34" s="120">
        <v>2.0284411490435801</v>
      </c>
      <c r="H34" s="120">
        <v>0.59162672099803293</v>
      </c>
      <c r="I34" s="120">
        <v>22.567675588040068</v>
      </c>
      <c r="J34" s="120">
        <v>15.469276680518091</v>
      </c>
      <c r="K34" s="120">
        <v>117.71649941491394</v>
      </c>
      <c r="L34" s="120">
        <v>15.363163603935142</v>
      </c>
      <c r="M34" s="120">
        <v>2.9058861140988803</v>
      </c>
      <c r="N34" s="121">
        <f t="shared" si="1"/>
        <v>135.98554913294797</v>
      </c>
      <c r="O34" s="121">
        <f t="shared" si="2"/>
        <v>61.089595375722553</v>
      </c>
      <c r="P34">
        <v>135.98554913294797</v>
      </c>
      <c r="Q34">
        <f t="shared" si="0"/>
        <v>32</v>
      </c>
      <c r="S34" s="131"/>
      <c r="T34" s="127"/>
      <c r="U34" s="127">
        <f>+(T28-1)*10+7</f>
        <v>27</v>
      </c>
      <c r="V34" s="128" t="s">
        <v>236</v>
      </c>
      <c r="W34" s="129">
        <f>VLOOKUP(S28,$B$3:$M$63,8,FALSE)</f>
        <v>24.628771164310908</v>
      </c>
      <c r="X34" s="129">
        <f>VLOOKUP(S28,$B$3:$M$63,11,FALSE)</f>
        <v>27.858950236862665</v>
      </c>
      <c r="Y34" s="130">
        <v>0</v>
      </c>
    </row>
    <row r="35" spans="1:25" x14ac:dyDescent="0.2">
      <c r="A35">
        <v>33</v>
      </c>
      <c r="B35" t="s">
        <v>346</v>
      </c>
      <c r="C35" s="120">
        <v>0</v>
      </c>
      <c r="D35" s="120">
        <v>2</v>
      </c>
      <c r="E35" s="120">
        <v>2.1818181818181817</v>
      </c>
      <c r="F35" s="120">
        <v>1.8181818181818181</v>
      </c>
      <c r="G35" s="120">
        <v>7</v>
      </c>
      <c r="H35" s="120">
        <v>1</v>
      </c>
      <c r="I35" s="120">
        <v>45</v>
      </c>
      <c r="J35" s="120">
        <v>15</v>
      </c>
      <c r="K35" s="120">
        <v>95</v>
      </c>
      <c r="L35" s="120">
        <v>1</v>
      </c>
      <c r="M35" s="120">
        <v>1</v>
      </c>
      <c r="N35" s="121">
        <f t="shared" si="1"/>
        <v>97</v>
      </c>
      <c r="O35" s="121">
        <f t="shared" si="2"/>
        <v>74</v>
      </c>
      <c r="P35">
        <v>97</v>
      </c>
      <c r="Q35">
        <f t="shared" si="0"/>
        <v>33</v>
      </c>
      <c r="S35" s="131"/>
      <c r="T35" s="127"/>
      <c r="U35" s="127">
        <f>+(T28-1)*10+8</f>
        <v>28</v>
      </c>
      <c r="V35" s="128" t="s">
        <v>237</v>
      </c>
      <c r="W35" s="129"/>
      <c r="X35" s="129"/>
      <c r="Y35" s="130"/>
    </row>
    <row r="36" spans="1:25" x14ac:dyDescent="0.2">
      <c r="A36">
        <v>34</v>
      </c>
      <c r="B36" t="s">
        <v>347</v>
      </c>
      <c r="C36" s="120">
        <v>0</v>
      </c>
      <c r="D36" s="120">
        <v>10.495205591126091</v>
      </c>
      <c r="E36" s="120">
        <v>1.7492009318543484</v>
      </c>
      <c r="F36" s="120">
        <v>1.7492009318543484</v>
      </c>
      <c r="G36" s="120">
        <v>1.7492009318543484</v>
      </c>
      <c r="H36" s="120">
        <v>1.7492009318543484</v>
      </c>
      <c r="I36" s="120">
        <v>45.479224228213063</v>
      </c>
      <c r="J36" s="120">
        <v>19.241210250397835</v>
      </c>
      <c r="K36" s="120">
        <v>165.99324179229035</v>
      </c>
      <c r="L36" s="120">
        <v>3.1921777267748142</v>
      </c>
      <c r="M36" s="120">
        <v>0</v>
      </c>
      <c r="N36" s="121">
        <f t="shared" si="1"/>
        <v>169.18541951906516</v>
      </c>
      <c r="O36" s="121">
        <f t="shared" si="2"/>
        <v>82.212443797154378</v>
      </c>
      <c r="P36">
        <v>169.18541951906516</v>
      </c>
      <c r="Q36">
        <f t="shared" si="0"/>
        <v>34</v>
      </c>
      <c r="S36" s="131"/>
      <c r="T36" s="127"/>
      <c r="U36" s="127">
        <f>+(T28-1)*10+9</f>
        <v>29</v>
      </c>
      <c r="V36" s="128" t="s">
        <v>238</v>
      </c>
      <c r="W36" s="129">
        <f>VLOOKUP(S28,$B$3:$M$63,9,FALSE)</f>
        <v>71.525904912796591</v>
      </c>
      <c r="X36" s="129">
        <f>VLOOKUP(S28,$B$3:$M$63,12,FALSE)</f>
        <v>0</v>
      </c>
      <c r="Y36" s="130">
        <v>0</v>
      </c>
    </row>
    <row r="37" spans="1:25" x14ac:dyDescent="0.2">
      <c r="A37">
        <v>35</v>
      </c>
      <c r="B37" t="s">
        <v>348</v>
      </c>
      <c r="C37" s="120">
        <v>22.34911479818129</v>
      </c>
      <c r="D37" s="120">
        <v>14.548269507323461</v>
      </c>
      <c r="E37" s="120">
        <v>14.83080840971297</v>
      </c>
      <c r="F37" s="120">
        <v>15.693391333931865</v>
      </c>
      <c r="G37" s="120">
        <v>21.802999816889173</v>
      </c>
      <c r="H37" s="120">
        <v>8.3857691603419902</v>
      </c>
      <c r="I37" s="120">
        <v>55.34607645825713</v>
      </c>
      <c r="J37" s="120">
        <v>34.494526010300362</v>
      </c>
      <c r="K37" s="120">
        <v>45.142664810060808</v>
      </c>
      <c r="L37" s="120">
        <v>11.139099108976044</v>
      </c>
      <c r="M37" s="120">
        <v>2.9313418707831693</v>
      </c>
      <c r="N37" s="121">
        <f t="shared" si="1"/>
        <v>59.21310578982002</v>
      </c>
      <c r="O37" s="121">
        <f t="shared" si="2"/>
        <v>187.45095549493823</v>
      </c>
      <c r="P37">
        <v>59.21310578982002</v>
      </c>
      <c r="Q37">
        <f t="shared" si="0"/>
        <v>35</v>
      </c>
      <c r="T37" s="132"/>
      <c r="U37" s="127">
        <f>+(T28-1)*10+10</f>
        <v>30</v>
      </c>
      <c r="V37" s="123" t="s">
        <v>324</v>
      </c>
      <c r="W37" s="133">
        <f>SUM(W28:W36)</f>
        <v>249.2731411229135</v>
      </c>
      <c r="X37" s="133">
        <f>SUM(X28:X36)</f>
        <v>311.63732928679821</v>
      </c>
      <c r="Y37" s="125">
        <v>0</v>
      </c>
    </row>
    <row r="38" spans="1:25" x14ac:dyDescent="0.2">
      <c r="A38">
        <v>36</v>
      </c>
      <c r="B38" t="s">
        <v>349</v>
      </c>
      <c r="C38" s="120">
        <v>0</v>
      </c>
      <c r="D38" s="120">
        <v>20.405281554585141</v>
      </c>
      <c r="E38" s="120">
        <v>15.980562668353658</v>
      </c>
      <c r="F38" s="120">
        <v>8.5057751971485125</v>
      </c>
      <c r="G38" s="120">
        <v>16.32422524366811</v>
      </c>
      <c r="H38" s="120">
        <v>6.8017605181950467</v>
      </c>
      <c r="I38" s="120">
        <v>29.927746280058209</v>
      </c>
      <c r="J38" s="120">
        <v>0</v>
      </c>
      <c r="K38" s="120">
        <v>119.38276453180471</v>
      </c>
      <c r="L38" s="120">
        <v>9.4748225818892617</v>
      </c>
      <c r="M38" s="120">
        <v>3.7899290327557047</v>
      </c>
      <c r="N38" s="121">
        <f t="shared" si="1"/>
        <v>132.64751614644968</v>
      </c>
      <c r="O38" s="121">
        <f t="shared" si="2"/>
        <v>97.945351462008688</v>
      </c>
      <c r="P38">
        <v>132.64751614644968</v>
      </c>
      <c r="Q38">
        <f t="shared" si="0"/>
        <v>36</v>
      </c>
      <c r="T38" s="132"/>
      <c r="U38" s="132"/>
      <c r="V38" s="132"/>
      <c r="W38" s="132"/>
      <c r="X38" s="132"/>
      <c r="Y38" s="132"/>
    </row>
    <row r="39" spans="1:25" x14ac:dyDescent="0.2">
      <c r="A39">
        <v>37</v>
      </c>
      <c r="B39" t="s">
        <v>350</v>
      </c>
      <c r="C39" s="120">
        <v>9.6690139269009112</v>
      </c>
      <c r="D39" s="120">
        <v>10.743436716585178</v>
      </c>
      <c r="E39" s="120">
        <v>11.89752372785305</v>
      </c>
      <c r="F39" s="120">
        <v>12.597417044330257</v>
      </c>
      <c r="G39" s="120">
        <v>16.329960514788873</v>
      </c>
      <c r="H39" s="120">
        <v>6.8041502144953636</v>
      </c>
      <c r="I39" s="120">
        <v>29.938260943779603</v>
      </c>
      <c r="J39" s="120">
        <v>0</v>
      </c>
      <c r="K39" s="120">
        <v>118.89547055738332</v>
      </c>
      <c r="L39" s="120">
        <v>9.4361484569351841</v>
      </c>
      <c r="M39" s="120">
        <v>3.7744593827740736</v>
      </c>
      <c r="N39" s="121">
        <f t="shared" si="1"/>
        <v>132.10607839709257</v>
      </c>
      <c r="O39" s="121">
        <f t="shared" si="2"/>
        <v>97.979763088733222</v>
      </c>
      <c r="P39">
        <v>132.10607839709257</v>
      </c>
      <c r="Q39">
        <f t="shared" si="0"/>
        <v>37</v>
      </c>
      <c r="S39" s="122"/>
      <c r="T39" s="122"/>
      <c r="U39" s="122"/>
      <c r="V39" s="123" t="s">
        <v>227</v>
      </c>
      <c r="W39" s="124" t="s">
        <v>228</v>
      </c>
      <c r="X39" s="124" t="s">
        <v>229</v>
      </c>
      <c r="Y39" s="125" t="s">
        <v>239</v>
      </c>
    </row>
    <row r="40" spans="1:25" ht="90" x14ac:dyDescent="0.2">
      <c r="A40">
        <v>38</v>
      </c>
      <c r="B40" t="s">
        <v>351</v>
      </c>
      <c r="C40" s="120">
        <v>16.271727219074549</v>
      </c>
      <c r="D40" s="120">
        <v>18.079844849669691</v>
      </c>
      <c r="E40" s="120">
        <v>20.022027286927472</v>
      </c>
      <c r="F40" s="120">
        <v>21.199859195565619</v>
      </c>
      <c r="G40" s="120">
        <v>27.481257654995392</v>
      </c>
      <c r="H40" s="120">
        <v>11.450524022914747</v>
      </c>
      <c r="I40" s="120">
        <v>50.382305700824894</v>
      </c>
      <c r="J40" s="120">
        <v>0</v>
      </c>
      <c r="K40" s="120">
        <v>63.409293487375862</v>
      </c>
      <c r="L40" s="120">
        <v>5.0324836101091952</v>
      </c>
      <c r="M40" s="120">
        <v>2.0129934440436781</v>
      </c>
      <c r="N40" s="121">
        <f t="shared" si="1"/>
        <v>70.454770541528731</v>
      </c>
      <c r="O40" s="121">
        <f t="shared" si="2"/>
        <v>164.88754592997236</v>
      </c>
      <c r="P40">
        <v>70.454770541528731</v>
      </c>
      <c r="Q40">
        <f t="shared" si="0"/>
        <v>38</v>
      </c>
      <c r="S40" s="126" t="str">
        <f>VLOOKUP(T40,$A$3:$P$63,2,FALSE)</f>
        <v>Commercial Laboratory asset common areas*</v>
      </c>
      <c r="T40" s="127">
        <f>+T28+1</f>
        <v>4</v>
      </c>
      <c r="U40" s="127">
        <f>+(T40-1)*10+1</f>
        <v>31</v>
      </c>
      <c r="V40" s="128" t="s">
        <v>230</v>
      </c>
      <c r="W40" s="129">
        <f>VLOOKUP(S40,$B$3:$M$63,2,FALSE)</f>
        <v>22.34911479818129</v>
      </c>
      <c r="X40" s="129">
        <f>VLOOKUP(S40,$B$3:$M$63,10,FALSE)</f>
        <v>45.142664810060808</v>
      </c>
      <c r="Y40" s="130">
        <v>0</v>
      </c>
    </row>
    <row r="41" spans="1:25" x14ac:dyDescent="0.2">
      <c r="A41">
        <v>39</v>
      </c>
      <c r="B41" t="s">
        <v>352</v>
      </c>
      <c r="C41" s="120">
        <v>5.6116191228877197</v>
      </c>
      <c r="D41" s="120">
        <v>0.41824339828056772</v>
      </c>
      <c r="E41" s="120">
        <v>4.4847029624766002</v>
      </c>
      <c r="F41" s="120">
        <v>1.79388118499064</v>
      </c>
      <c r="G41" s="120">
        <v>0.83648679656113545</v>
      </c>
      <c r="H41" s="120">
        <v>6.1680810664718173</v>
      </c>
      <c r="I41" s="120">
        <v>51.489681958727097</v>
      </c>
      <c r="J41" s="120">
        <v>47.686743540606187</v>
      </c>
      <c r="K41" s="120">
        <v>173.8931143539719</v>
      </c>
      <c r="L41" s="120">
        <v>27.554504071811294</v>
      </c>
      <c r="M41" s="120">
        <v>6.9585044186268057</v>
      </c>
      <c r="N41" s="121">
        <f t="shared" si="1"/>
        <v>208.40612284440999</v>
      </c>
      <c r="O41" s="121">
        <f t="shared" si="2"/>
        <v>118.48944003100176</v>
      </c>
      <c r="P41">
        <v>208.40612284440999</v>
      </c>
      <c r="Q41">
        <f t="shared" si="0"/>
        <v>39</v>
      </c>
      <c r="S41" s="131"/>
      <c r="T41" s="127"/>
      <c r="U41" s="127">
        <f>+(T40-1)*10+2</f>
        <v>32</v>
      </c>
      <c r="V41" s="128" t="s">
        <v>314</v>
      </c>
      <c r="W41" s="129">
        <f>VLOOKUP(S40,$B$3:$M$63,3,FALSE)</f>
        <v>14.548269507323461</v>
      </c>
      <c r="X41" s="129"/>
      <c r="Y41" s="130">
        <v>0</v>
      </c>
    </row>
    <row r="42" spans="1:25" x14ac:dyDescent="0.2">
      <c r="A42">
        <v>40</v>
      </c>
      <c r="B42" t="s">
        <v>353</v>
      </c>
      <c r="C42" s="120">
        <v>6.6715090507491759</v>
      </c>
      <c r="D42" s="120">
        <v>3.7453955567648897E-2</v>
      </c>
      <c r="E42" s="120">
        <v>12.322585113643148</v>
      </c>
      <c r="F42" s="120">
        <v>4.9290340454572581</v>
      </c>
      <c r="G42" s="120">
        <v>16.293195872483714</v>
      </c>
      <c r="H42" s="120">
        <v>0.95842328661668919</v>
      </c>
      <c r="I42" s="120">
        <v>16.293195872483714</v>
      </c>
      <c r="J42" s="120">
        <v>0</v>
      </c>
      <c r="K42" s="120">
        <v>111.18120265405872</v>
      </c>
      <c r="L42" s="120">
        <v>2.8753759307084152</v>
      </c>
      <c r="M42" s="120">
        <v>0.95845864356947175</v>
      </c>
      <c r="N42" s="121">
        <f t="shared" si="1"/>
        <v>115.01503722833661</v>
      </c>
      <c r="O42" s="121">
        <f t="shared" si="2"/>
        <v>57.505397197001344</v>
      </c>
      <c r="P42">
        <v>115.01503722833661</v>
      </c>
      <c r="Q42">
        <f t="shared" si="0"/>
        <v>40</v>
      </c>
      <c r="S42" s="131"/>
      <c r="T42" s="127"/>
      <c r="U42" s="127">
        <f>+(T40-1)*10+3</f>
        <v>33</v>
      </c>
      <c r="V42" s="128" t="s">
        <v>232</v>
      </c>
      <c r="W42" s="129">
        <f>VLOOKUP(S40,$B$3:$M$63,4,FALSE)</f>
        <v>14.83080840971297</v>
      </c>
      <c r="X42" s="129"/>
      <c r="Y42" s="130">
        <v>0</v>
      </c>
    </row>
    <row r="43" spans="1:25" x14ac:dyDescent="0.2">
      <c r="A43">
        <v>41</v>
      </c>
      <c r="B43" t="s">
        <v>354</v>
      </c>
      <c r="C43" s="120">
        <v>9.3484055330052005</v>
      </c>
      <c r="D43" s="120">
        <v>0.50393633543408878</v>
      </c>
      <c r="E43" s="120">
        <v>6.8582778796441435</v>
      </c>
      <c r="F43" s="120">
        <v>0.53097852168532345</v>
      </c>
      <c r="G43" s="120">
        <v>9.8523418684392894</v>
      </c>
      <c r="H43" s="120">
        <v>2.4630854671098223</v>
      </c>
      <c r="I43" s="120">
        <v>88.671076815953597</v>
      </c>
      <c r="J43" s="120">
        <v>0</v>
      </c>
      <c r="K43" s="120">
        <v>181.5789602786322</v>
      </c>
      <c r="L43" s="120">
        <v>26.759004672640536</v>
      </c>
      <c r="M43" s="120">
        <v>0</v>
      </c>
      <c r="N43" s="121">
        <f t="shared" si="1"/>
        <v>208.33796495127274</v>
      </c>
      <c r="O43" s="121">
        <f t="shared" si="2"/>
        <v>118.22810242127147</v>
      </c>
      <c r="P43">
        <v>208.33796495127274</v>
      </c>
      <c r="Q43">
        <f t="shared" si="0"/>
        <v>41</v>
      </c>
      <c r="S43" s="131"/>
      <c r="T43" s="127"/>
      <c r="U43" s="127">
        <f>+(T40-1)*10+4</f>
        <v>34</v>
      </c>
      <c r="V43" s="128" t="s">
        <v>317</v>
      </c>
      <c r="W43" s="129">
        <f>VLOOKUP(S40,$B$3:$M$63,5,FALSE)</f>
        <v>15.693391333931865</v>
      </c>
      <c r="X43" s="129"/>
      <c r="Y43" s="130">
        <v>0</v>
      </c>
    </row>
    <row r="44" spans="1:25" x14ac:dyDescent="0.2">
      <c r="A44">
        <v>42</v>
      </c>
      <c r="B44" t="s">
        <v>355</v>
      </c>
      <c r="C44" s="120">
        <v>9.6690139269009112</v>
      </c>
      <c r="D44" s="120">
        <v>10.743436716585178</v>
      </c>
      <c r="E44" s="120">
        <v>11.89752372785305</v>
      </c>
      <c r="F44" s="120">
        <v>12.597417044330257</v>
      </c>
      <c r="G44" s="120">
        <v>16.329960514788873</v>
      </c>
      <c r="H44" s="120">
        <v>6.8041502144953636</v>
      </c>
      <c r="I44" s="120">
        <v>29.938260943779603</v>
      </c>
      <c r="J44" s="120">
        <v>0</v>
      </c>
      <c r="K44" s="120">
        <v>118.89547055738332</v>
      </c>
      <c r="L44" s="120">
        <v>9.4361484569351841</v>
      </c>
      <c r="M44" s="120">
        <v>3.7744593827740736</v>
      </c>
      <c r="N44" s="121">
        <f t="shared" si="1"/>
        <v>132.10607839709257</v>
      </c>
      <c r="O44" s="121">
        <f t="shared" si="2"/>
        <v>97.979763088733222</v>
      </c>
      <c r="P44">
        <v>132.10607839709257</v>
      </c>
      <c r="Q44">
        <f t="shared" si="0"/>
        <v>42</v>
      </c>
      <c r="S44" s="131"/>
      <c r="T44" s="127"/>
      <c r="U44" s="127">
        <f>+(T40-1)*10+5</f>
        <v>35</v>
      </c>
      <c r="V44" s="128" t="s">
        <v>234</v>
      </c>
      <c r="W44" s="129">
        <f>VLOOKUP(S40,$B$3:$M$63,6,FALSE)</f>
        <v>21.802999816889173</v>
      </c>
      <c r="X44" s="129"/>
      <c r="Y44" s="130">
        <v>0</v>
      </c>
    </row>
    <row r="45" spans="1:25" x14ac:dyDescent="0.2">
      <c r="A45">
        <v>43</v>
      </c>
      <c r="B45" t="s">
        <v>356</v>
      </c>
      <c r="C45" s="120">
        <v>22.34911479818129</v>
      </c>
      <c r="D45" s="120">
        <v>14.548269507323461</v>
      </c>
      <c r="E45" s="120">
        <v>14.83080840971297</v>
      </c>
      <c r="F45" s="120">
        <v>15.693391333931865</v>
      </c>
      <c r="G45" s="120">
        <v>21.802999816889173</v>
      </c>
      <c r="H45" s="120">
        <v>8.3857691603419902</v>
      </c>
      <c r="I45" s="120">
        <v>55.34607645825713</v>
      </c>
      <c r="J45" s="120">
        <v>34.494526010300362</v>
      </c>
      <c r="K45" s="120">
        <v>45.142664810060808</v>
      </c>
      <c r="L45" s="120">
        <v>11.139099108976044</v>
      </c>
      <c r="M45" s="120">
        <v>2.9313418707831693</v>
      </c>
      <c r="N45" s="121">
        <f t="shared" si="1"/>
        <v>59.21310578982002</v>
      </c>
      <c r="O45" s="121">
        <f t="shared" si="2"/>
        <v>187.45095549493823</v>
      </c>
      <c r="P45">
        <v>59.21310578982002</v>
      </c>
      <c r="Q45">
        <f t="shared" si="0"/>
        <v>43</v>
      </c>
      <c r="S45" s="131"/>
      <c r="T45" s="127"/>
      <c r="U45" s="127">
        <f>+(T40-1)*10+6</f>
        <v>36</v>
      </c>
      <c r="V45" s="128" t="s">
        <v>235</v>
      </c>
      <c r="W45" s="129">
        <f>VLOOKUP(S40,$B$3:$M$63,7,FALSE)</f>
        <v>8.3857691603419902</v>
      </c>
      <c r="X45" s="129"/>
      <c r="Y45" s="130">
        <v>0</v>
      </c>
    </row>
    <row r="46" spans="1:25" x14ac:dyDescent="0.2">
      <c r="A46">
        <v>44</v>
      </c>
      <c r="B46" t="s">
        <v>357</v>
      </c>
      <c r="C46" s="120">
        <v>13.608882716589996</v>
      </c>
      <c r="D46" s="120">
        <v>1.7056259908354172</v>
      </c>
      <c r="E46" s="120">
        <v>0.21877869582036308</v>
      </c>
      <c r="F46" s="120">
        <v>0.21877869582036308</v>
      </c>
      <c r="G46" s="120">
        <v>2.1877869582036307</v>
      </c>
      <c r="H46" s="120">
        <v>0</v>
      </c>
      <c r="I46" s="120">
        <v>24.065656540239935</v>
      </c>
      <c r="J46" s="120">
        <v>44.996870705461532</v>
      </c>
      <c r="K46" s="120">
        <v>204.86330214859197</v>
      </c>
      <c r="L46" s="120">
        <v>74.291087592346528</v>
      </c>
      <c r="M46" s="120">
        <v>18.009960628447644</v>
      </c>
      <c r="N46" s="121">
        <f t="shared" si="1"/>
        <v>297.16435036938611</v>
      </c>
      <c r="O46" s="121">
        <f t="shared" si="2"/>
        <v>87.002380302971233</v>
      </c>
      <c r="P46">
        <v>297.16435036938611</v>
      </c>
      <c r="Q46">
        <f t="shared" si="0"/>
        <v>44</v>
      </c>
      <c r="S46" s="131"/>
      <c r="T46" s="127"/>
      <c r="U46" s="127">
        <f>+(T40-1)*10+7</f>
        <v>37</v>
      </c>
      <c r="V46" s="128" t="s">
        <v>236</v>
      </c>
      <c r="W46" s="129">
        <f>VLOOKUP(S40,$B$3:$M$63,8,FALSE)</f>
        <v>55.34607645825713</v>
      </c>
      <c r="X46" s="129">
        <f>VLOOKUP(S40,$B$3:$M$63,11,FALSE)</f>
        <v>11.139099108976044</v>
      </c>
      <c r="Y46" s="130">
        <v>0</v>
      </c>
    </row>
    <row r="47" spans="1:25" x14ac:dyDescent="0.2">
      <c r="A47">
        <v>45</v>
      </c>
      <c r="B47" t="s">
        <v>329</v>
      </c>
      <c r="C47" s="120">
        <v>42.001282275813878</v>
      </c>
      <c r="D47" s="120">
        <v>5.2640970011970012</v>
      </c>
      <c r="E47" s="120">
        <v>0.67521970395729847</v>
      </c>
      <c r="F47" s="120">
        <v>0.67521970395729847</v>
      </c>
      <c r="G47" s="120">
        <v>6.7521970395729838</v>
      </c>
      <c r="H47" s="120">
        <v>0</v>
      </c>
      <c r="I47" s="120">
        <v>74.274167435302815</v>
      </c>
      <c r="J47" s="120">
        <v>138.87446217200943</v>
      </c>
      <c r="K47" s="120">
        <v>191.85811019819977</v>
      </c>
      <c r="L47" s="120">
        <v>69.574919082863644</v>
      </c>
      <c r="M47" s="120">
        <v>16.866647050391187</v>
      </c>
      <c r="N47" s="121">
        <f t="shared" si="1"/>
        <v>278.29967633145458</v>
      </c>
      <c r="O47" s="121">
        <f t="shared" si="2"/>
        <v>268.51664533181071</v>
      </c>
      <c r="P47">
        <v>278.29967633145458</v>
      </c>
      <c r="Q47">
        <f t="shared" si="0"/>
        <v>45</v>
      </c>
      <c r="S47" s="131"/>
      <c r="T47" s="127"/>
      <c r="U47" s="127">
        <f>+(T40-1)*10+8</f>
        <v>38</v>
      </c>
      <c r="V47" s="128" t="s">
        <v>237</v>
      </c>
      <c r="W47" s="129"/>
      <c r="X47" s="129"/>
      <c r="Y47" s="130"/>
    </row>
    <row r="48" spans="1:25" x14ac:dyDescent="0.2">
      <c r="A48">
        <v>46</v>
      </c>
      <c r="B48" t="s">
        <v>358</v>
      </c>
      <c r="C48" s="120">
        <v>37.037968981496967</v>
      </c>
      <c r="D48" s="120">
        <v>4.6420359303696443</v>
      </c>
      <c r="E48" s="120">
        <v>0.5954286415980945</v>
      </c>
      <c r="F48" s="120">
        <v>0.5954286415980945</v>
      </c>
      <c r="G48" s="120">
        <v>5.9542864159809445</v>
      </c>
      <c r="H48" s="120">
        <v>0</v>
      </c>
      <c r="I48" s="120">
        <v>65.4971505757904</v>
      </c>
      <c r="J48" s="120">
        <v>122.46359500340489</v>
      </c>
      <c r="K48" s="120">
        <v>31.79691668940178</v>
      </c>
      <c r="L48" s="120">
        <v>11.530750008244601</v>
      </c>
      <c r="M48" s="120">
        <v>2.7953333353320247</v>
      </c>
      <c r="N48" s="121">
        <f t="shared" si="1"/>
        <v>46.123000032978403</v>
      </c>
      <c r="O48" s="121">
        <f t="shared" si="2"/>
        <v>236.78589419023905</v>
      </c>
      <c r="P48">
        <v>46.123000032978403</v>
      </c>
      <c r="Q48">
        <f t="shared" si="0"/>
        <v>46</v>
      </c>
      <c r="S48" s="131"/>
      <c r="T48" s="127"/>
      <c r="U48" s="127">
        <f>+(T40-1)*10+9</f>
        <v>39</v>
      </c>
      <c r="V48" s="128" t="s">
        <v>238</v>
      </c>
      <c r="W48" s="129">
        <f>VLOOKUP(S40,$B$3:$M$63,9,FALSE)</f>
        <v>34.494526010300362</v>
      </c>
      <c r="X48" s="129">
        <f>VLOOKUP(S40,$B$3:$M$63,12,FALSE)</f>
        <v>2.9313418707831693</v>
      </c>
      <c r="Y48" s="130">
        <v>0</v>
      </c>
    </row>
    <row r="49" spans="1:25" x14ac:dyDescent="0.2">
      <c r="A49">
        <v>47</v>
      </c>
      <c r="B49" t="s">
        <v>359</v>
      </c>
      <c r="C49" s="120">
        <v>13.295397131230294</v>
      </c>
      <c r="D49" s="120">
        <v>1.666336272988856</v>
      </c>
      <c r="E49" s="120">
        <v>0.21373904863170215</v>
      </c>
      <c r="F49" s="120">
        <v>0.21373904863170215</v>
      </c>
      <c r="G49" s="120">
        <v>2.1373904863170217</v>
      </c>
      <c r="H49" s="120">
        <v>0</v>
      </c>
      <c r="I49" s="120">
        <v>23.511295349487234</v>
      </c>
      <c r="J49" s="120">
        <v>43.960351349228077</v>
      </c>
      <c r="K49" s="120">
        <v>70.75765536273417</v>
      </c>
      <c r="L49" s="120">
        <v>25.659369527145358</v>
      </c>
      <c r="M49" s="120">
        <v>6.2204532187019055</v>
      </c>
      <c r="N49" s="121">
        <f t="shared" si="1"/>
        <v>102.63747810858143</v>
      </c>
      <c r="O49" s="121">
        <f t="shared" si="2"/>
        <v>84.998248686514884</v>
      </c>
      <c r="P49">
        <v>102.63747810858143</v>
      </c>
      <c r="Q49">
        <f t="shared" si="0"/>
        <v>47</v>
      </c>
      <c r="T49" s="132"/>
      <c r="U49" s="127">
        <f>+(T40-1)*10+10</f>
        <v>40</v>
      </c>
      <c r="V49" s="123" t="s">
        <v>324</v>
      </c>
      <c r="W49" s="133">
        <f>SUM(W40:W48)</f>
        <v>187.45095549493823</v>
      </c>
      <c r="X49" s="133">
        <f>SUM(X40:X48)</f>
        <v>59.21310578982002</v>
      </c>
      <c r="Y49" s="125">
        <v>0</v>
      </c>
    </row>
    <row r="50" spans="1:25" x14ac:dyDescent="0.2">
      <c r="A50">
        <v>48</v>
      </c>
      <c r="B50" t="s">
        <v>360</v>
      </c>
      <c r="C50" s="120">
        <v>22.34911479818129</v>
      </c>
      <c r="D50" s="120">
        <v>14.548269507323461</v>
      </c>
      <c r="E50" s="120">
        <v>14.83080840971297</v>
      </c>
      <c r="F50" s="120">
        <v>15.693391333931865</v>
      </c>
      <c r="G50" s="120">
        <v>21.802999816889173</v>
      </c>
      <c r="H50" s="120">
        <v>8.3857691603419902</v>
      </c>
      <c r="I50" s="120">
        <v>55.34607645825713</v>
      </c>
      <c r="J50" s="120">
        <v>34.494526010300362</v>
      </c>
      <c r="K50" s="120">
        <v>45.142664810060808</v>
      </c>
      <c r="L50" s="120">
        <v>11.139099108976044</v>
      </c>
      <c r="M50" s="120">
        <v>2.9313418707831693</v>
      </c>
      <c r="N50" s="121">
        <f t="shared" si="1"/>
        <v>59.21310578982002</v>
      </c>
      <c r="O50" s="121">
        <f t="shared" si="2"/>
        <v>187.45095549493823</v>
      </c>
      <c r="P50">
        <v>59.21310578982002</v>
      </c>
      <c r="Q50">
        <f t="shared" si="0"/>
        <v>48</v>
      </c>
      <c r="T50" s="132"/>
      <c r="U50" s="132"/>
      <c r="V50" s="132"/>
      <c r="W50" s="132"/>
      <c r="X50" s="132"/>
      <c r="Y50" s="132"/>
    </row>
    <row r="51" spans="1:25" x14ac:dyDescent="0.2">
      <c r="A51">
        <v>49</v>
      </c>
      <c r="B51" t="s">
        <v>361</v>
      </c>
      <c r="C51" s="120">
        <v>37.037968981496967</v>
      </c>
      <c r="D51" s="120">
        <v>4.6420359303696443</v>
      </c>
      <c r="E51" s="120">
        <v>0.5954286415980945</v>
      </c>
      <c r="F51" s="120">
        <v>0.5954286415980945</v>
      </c>
      <c r="G51" s="120">
        <v>5.9542864159809445</v>
      </c>
      <c r="H51" s="120">
        <v>0</v>
      </c>
      <c r="I51" s="120">
        <v>65.4971505757904</v>
      </c>
      <c r="J51" s="120">
        <v>122.46359500340489</v>
      </c>
      <c r="K51" s="120">
        <v>31.79691668940178</v>
      </c>
      <c r="L51" s="120">
        <v>11.530750008244601</v>
      </c>
      <c r="M51" s="120">
        <v>2.7953333353320247</v>
      </c>
      <c r="N51" s="121">
        <f t="shared" si="1"/>
        <v>46.123000032978403</v>
      </c>
      <c r="O51" s="121">
        <f t="shared" si="2"/>
        <v>236.78589419023905</v>
      </c>
      <c r="P51">
        <v>46.123000032978403</v>
      </c>
      <c r="Q51">
        <f t="shared" si="0"/>
        <v>49</v>
      </c>
      <c r="S51" s="122"/>
      <c r="T51" s="122"/>
      <c r="U51" s="122"/>
      <c r="V51" s="123" t="s">
        <v>227</v>
      </c>
      <c r="W51" s="124" t="s">
        <v>228</v>
      </c>
      <c r="X51" s="124" t="s">
        <v>229</v>
      </c>
      <c r="Y51" s="125" t="s">
        <v>239</v>
      </c>
    </row>
    <row r="52" spans="1:25" ht="30" x14ac:dyDescent="0.2">
      <c r="A52">
        <v>50</v>
      </c>
      <c r="B52" t="s">
        <v>362</v>
      </c>
      <c r="C52" s="120">
        <v>12.123255602383859</v>
      </c>
      <c r="D52" s="120">
        <v>0.23793116642539594</v>
      </c>
      <c r="E52" s="120">
        <v>12.072148435885682</v>
      </c>
      <c r="F52" s="120">
        <v>0.28903833292357251</v>
      </c>
      <c r="G52" s="120">
        <v>7.2106922818053985</v>
      </c>
      <c r="H52" s="120">
        <v>0</v>
      </c>
      <c r="I52" s="120">
        <v>100.94969194527557</v>
      </c>
      <c r="J52" s="120">
        <v>5.150494487003856</v>
      </c>
      <c r="K52" s="120">
        <v>52.08874305571441</v>
      </c>
      <c r="L52" s="120">
        <v>0</v>
      </c>
      <c r="M52" s="120">
        <v>0</v>
      </c>
      <c r="N52" s="121">
        <f t="shared" si="1"/>
        <v>52.08874305571441</v>
      </c>
      <c r="O52" s="121">
        <f t="shared" si="2"/>
        <v>138.03325225170335</v>
      </c>
      <c r="P52">
        <v>52.08874305571441</v>
      </c>
      <c r="Q52">
        <f t="shared" si="0"/>
        <v>50</v>
      </c>
      <c r="S52" s="126" t="str">
        <f>VLOOKUP(T52,$A$3:$P$63,2,FALSE)</f>
        <v>Community hub</v>
      </c>
      <c r="T52" s="127">
        <f>+T40+1</f>
        <v>5</v>
      </c>
      <c r="U52" s="127">
        <f>+(T52-1)*10+1</f>
        <v>41</v>
      </c>
      <c r="V52" s="128" t="s">
        <v>230</v>
      </c>
      <c r="W52" s="129">
        <f>VLOOKUP(S52,$B$3:$M$63,2,FALSE)</f>
        <v>12.391122186971467</v>
      </c>
      <c r="X52" s="129">
        <f>VLOOKUP(S52,$B$3:$M$63,10,FALSE)</f>
        <v>97.505864972363511</v>
      </c>
      <c r="Y52" s="130">
        <v>0</v>
      </c>
    </row>
    <row r="53" spans="1:25" x14ac:dyDescent="0.2">
      <c r="A53">
        <v>51</v>
      </c>
      <c r="B53" s="50" t="s">
        <v>363</v>
      </c>
      <c r="C53" s="120">
        <v>37.037968981496967</v>
      </c>
      <c r="D53" s="120">
        <v>4.6420359303696443</v>
      </c>
      <c r="E53" s="120">
        <v>0.5954286415980945</v>
      </c>
      <c r="F53" s="120">
        <v>0.5954286415980945</v>
      </c>
      <c r="G53" s="120">
        <v>5.9542864159809445</v>
      </c>
      <c r="H53" s="120">
        <v>0</v>
      </c>
      <c r="I53" s="120">
        <v>65.4971505757904</v>
      </c>
      <c r="J53" s="120">
        <v>122.46359500340489</v>
      </c>
      <c r="K53" s="120">
        <v>31.79691668940178</v>
      </c>
      <c r="L53" s="120">
        <v>11.530750008244601</v>
      </c>
      <c r="M53" s="120">
        <v>2.7953333353320247</v>
      </c>
      <c r="N53" s="121">
        <f t="shared" si="1"/>
        <v>46.123000032978403</v>
      </c>
      <c r="O53" s="121">
        <f t="shared" si="2"/>
        <v>236.78589419023905</v>
      </c>
      <c r="P53">
        <v>46.123000032978403</v>
      </c>
      <c r="Q53">
        <f t="shared" si="0"/>
        <v>51</v>
      </c>
      <c r="S53" s="131"/>
      <c r="T53" s="127"/>
      <c r="U53" s="127">
        <f>+(T52-1)*10+2</f>
        <v>42</v>
      </c>
      <c r="V53" s="128" t="s">
        <v>314</v>
      </c>
      <c r="W53" s="129">
        <f>VLOOKUP(S52,$B$3:$M$63,3,FALSE)</f>
        <v>5.7574714894349469E-2</v>
      </c>
      <c r="X53" s="129"/>
      <c r="Y53" s="130">
        <v>0</v>
      </c>
    </row>
    <row r="54" spans="1:25" x14ac:dyDescent="0.2">
      <c r="A54">
        <v>52</v>
      </c>
      <c r="B54" t="s">
        <v>364</v>
      </c>
      <c r="C54" s="120">
        <v>23.283707341703632</v>
      </c>
      <c r="D54" s="120">
        <v>1.2286904272146031</v>
      </c>
      <c r="E54" s="120">
        <v>5.1951470158150341</v>
      </c>
      <c r="F54" s="120">
        <v>1.4086484756925601</v>
      </c>
      <c r="G54" s="120">
        <v>2.4574173867167572</v>
      </c>
      <c r="H54" s="120">
        <v>2.8822878909389744</v>
      </c>
      <c r="I54" s="120">
        <v>31.723213750379085</v>
      </c>
      <c r="J54" s="120">
        <v>16.819136398054241</v>
      </c>
      <c r="K54" s="120">
        <v>89.98261526774607</v>
      </c>
      <c r="L54" s="120">
        <v>12.654862840835365</v>
      </c>
      <c r="M54" s="120">
        <v>0</v>
      </c>
      <c r="N54" s="121">
        <f t="shared" si="1"/>
        <v>102.63747810858143</v>
      </c>
      <c r="O54" s="121">
        <f t="shared" si="2"/>
        <v>84.998248686514884</v>
      </c>
      <c r="P54">
        <v>102.63747810858143</v>
      </c>
      <c r="Q54">
        <f t="shared" si="0"/>
        <v>52</v>
      </c>
      <c r="S54" s="131"/>
      <c r="T54" s="127"/>
      <c r="U54" s="127">
        <f>+(T52-1)*10+3</f>
        <v>43</v>
      </c>
      <c r="V54" s="128" t="s">
        <v>232</v>
      </c>
      <c r="W54" s="129">
        <f>VLOOKUP(S52,$B$3:$M$63,4,FALSE)</f>
        <v>2.7359773410694102</v>
      </c>
      <c r="X54" s="129"/>
      <c r="Y54" s="130">
        <v>0</v>
      </c>
    </row>
    <row r="55" spans="1:25" x14ac:dyDescent="0.2">
      <c r="A55">
        <v>53</v>
      </c>
      <c r="B55" t="s">
        <v>365</v>
      </c>
      <c r="C55" s="120">
        <v>53.567540175862689</v>
      </c>
      <c r="D55" s="120">
        <v>4.8060613269348353</v>
      </c>
      <c r="E55" s="120">
        <v>22.947340685083567</v>
      </c>
      <c r="F55" s="120">
        <v>4.8060613269348353</v>
      </c>
      <c r="G55" s="120">
        <v>9.6120900068797503</v>
      </c>
      <c r="H55" s="120">
        <v>17.606097252407782</v>
      </c>
      <c r="I55" s="120">
        <v>122.42621219597203</v>
      </c>
      <c r="J55" s="120">
        <v>235.39328553283451</v>
      </c>
      <c r="K55" s="120">
        <v>54.537516129148827</v>
      </c>
      <c r="L55" s="120">
        <v>8.0369289085913405</v>
      </c>
      <c r="M55" s="120">
        <v>8.986832051286413</v>
      </c>
      <c r="N55" s="121">
        <f t="shared" si="1"/>
        <v>71.561277089026589</v>
      </c>
      <c r="O55" s="121">
        <f t="shared" si="2"/>
        <v>471.16468850291</v>
      </c>
      <c r="P55">
        <v>71.561277089026575</v>
      </c>
      <c r="Q55">
        <f t="shared" si="0"/>
        <v>53</v>
      </c>
      <c r="S55" s="131"/>
      <c r="T55" s="127"/>
      <c r="U55" s="127">
        <f>+(T52-1)*10+4</f>
        <v>44</v>
      </c>
      <c r="V55" s="128" t="s">
        <v>317</v>
      </c>
      <c r="W55" s="129">
        <f>VLOOKUP(S52,$B$3:$M$63,5,FALSE)</f>
        <v>1.094390936427764</v>
      </c>
      <c r="X55" s="129"/>
      <c r="Y55" s="130">
        <v>0</v>
      </c>
    </row>
    <row r="56" spans="1:25" x14ac:dyDescent="0.2">
      <c r="A56">
        <v>54</v>
      </c>
      <c r="B56" t="s">
        <v>366</v>
      </c>
      <c r="C56" s="120">
        <v>4.4171810387510924</v>
      </c>
      <c r="D56" s="120">
        <v>0.94892465369671053</v>
      </c>
      <c r="E56" s="120">
        <v>2.2381750756749987</v>
      </c>
      <c r="F56" s="120">
        <v>0.44487777054890293</v>
      </c>
      <c r="G56" s="120">
        <v>24.147475616015114</v>
      </c>
      <c r="H56" s="120">
        <v>2.6830528462239012</v>
      </c>
      <c r="I56" s="120">
        <v>52.766705975736734</v>
      </c>
      <c r="J56" s="120">
        <v>198.54591062056869</v>
      </c>
      <c r="K56" s="120">
        <v>113.04235090478736</v>
      </c>
      <c r="L56" s="120">
        <v>0.75867349600528422</v>
      </c>
      <c r="M56" s="120">
        <v>8.3454084560581272</v>
      </c>
      <c r="N56" s="121">
        <f t="shared" si="1"/>
        <v>122.14643285685077</v>
      </c>
      <c r="O56" s="121">
        <f t="shared" si="2"/>
        <v>286.19230359721615</v>
      </c>
      <c r="P56">
        <v>122.14643285685077</v>
      </c>
      <c r="Q56">
        <f t="shared" si="0"/>
        <v>54</v>
      </c>
      <c r="S56" s="131"/>
      <c r="T56" s="127"/>
      <c r="U56" s="127">
        <f>+(T52-1)*10+5</f>
        <v>45</v>
      </c>
      <c r="V56" s="128" t="s">
        <v>234</v>
      </c>
      <c r="W56" s="129">
        <f>VLOOKUP(S52,$B$3:$M$63,6,FALSE)</f>
        <v>6.7031444856200544</v>
      </c>
      <c r="X56" s="129"/>
      <c r="Y56" s="130">
        <v>0</v>
      </c>
    </row>
    <row r="57" spans="1:25" x14ac:dyDescent="0.2">
      <c r="A57">
        <v>55</v>
      </c>
      <c r="B57" t="s">
        <v>367</v>
      </c>
      <c r="C57" s="120">
        <v>32.850375506355476</v>
      </c>
      <c r="D57" s="120">
        <v>4.1171972335420888</v>
      </c>
      <c r="E57" s="120">
        <v>0.52810818199853671</v>
      </c>
      <c r="F57" s="120">
        <v>0.52810818199853671</v>
      </c>
      <c r="G57" s="120">
        <v>5.2810818199853671</v>
      </c>
      <c r="H57" s="120">
        <v>0</v>
      </c>
      <c r="I57" s="120">
        <v>58.091900019839031</v>
      </c>
      <c r="J57" s="120">
        <v>108.61759411618503</v>
      </c>
      <c r="K57" s="120">
        <v>33.07122071566765</v>
      </c>
      <c r="L57" s="120">
        <v>11.992860259527827</v>
      </c>
      <c r="M57" s="120">
        <v>2.9073600629158372</v>
      </c>
      <c r="N57" s="121">
        <f t="shared" si="1"/>
        <v>47.971441038111315</v>
      </c>
      <c r="O57" s="121">
        <f t="shared" si="2"/>
        <v>210.01436505990404</v>
      </c>
      <c r="P57">
        <v>47.971441038111308</v>
      </c>
      <c r="Q57">
        <f t="shared" si="0"/>
        <v>55</v>
      </c>
      <c r="S57" s="131"/>
      <c r="T57" s="127"/>
      <c r="U57" s="127">
        <f>+(T52-1)*10+6</f>
        <v>46</v>
      </c>
      <c r="V57" s="128" t="s">
        <v>235</v>
      </c>
      <c r="W57" s="129">
        <f>VLOOKUP(S52,$B$3:$M$63,7,FALSE)</f>
        <v>1.9151841387485871</v>
      </c>
      <c r="X57" s="129"/>
      <c r="Y57" s="130">
        <v>0</v>
      </c>
    </row>
    <row r="58" spans="1:25" x14ac:dyDescent="0.2">
      <c r="A58">
        <v>56</v>
      </c>
      <c r="B58" t="s">
        <v>368</v>
      </c>
      <c r="C58" s="120">
        <v>58.078301961778962</v>
      </c>
      <c r="D58" s="120">
        <v>1.6125700576563524</v>
      </c>
      <c r="E58" s="120">
        <v>0.90902278386003765</v>
      </c>
      <c r="F58" s="120">
        <v>0.36360911354401509</v>
      </c>
      <c r="G58" s="120">
        <v>6.1247046303580994</v>
      </c>
      <c r="H58" s="120">
        <v>25.527541425471124</v>
      </c>
      <c r="I58" s="120">
        <v>6.3943935098736944</v>
      </c>
      <c r="J58" s="120">
        <v>0.70965590690385427</v>
      </c>
      <c r="K58" s="120">
        <v>174.55939394039416</v>
      </c>
      <c r="L58" s="120">
        <v>76.725248664312929</v>
      </c>
      <c r="M58" s="120">
        <v>2.1329326242506275</v>
      </c>
      <c r="N58" s="121">
        <f t="shared" si="1"/>
        <v>253.4175752289577</v>
      </c>
      <c r="O58" s="121">
        <f t="shared" si="2"/>
        <v>99.719799389446138</v>
      </c>
      <c r="P58">
        <v>253.4175752289577</v>
      </c>
      <c r="Q58">
        <f t="shared" si="0"/>
        <v>56</v>
      </c>
      <c r="S58" s="131"/>
      <c r="T58" s="127"/>
      <c r="U58" s="127">
        <f>+(T52-1)*10+7</f>
        <v>47</v>
      </c>
      <c r="V58" s="128" t="s">
        <v>236</v>
      </c>
      <c r="W58" s="129">
        <f>VLOOKUP(S52,$B$3:$M$63,8,FALSE)</f>
        <v>16.279065179362991</v>
      </c>
      <c r="X58" s="129">
        <f>VLOOKUP(S52,$B$3:$M$63,11,FALSE)</f>
        <v>7.4290182836086487</v>
      </c>
      <c r="Y58" s="130">
        <v>0</v>
      </c>
    </row>
    <row r="59" spans="1:25" x14ac:dyDescent="0.2">
      <c r="A59">
        <v>57</v>
      </c>
      <c r="B59" t="s">
        <v>369</v>
      </c>
      <c r="C59" s="120">
        <v>107.3743108153778</v>
      </c>
      <c r="D59" s="120">
        <v>4.8925332003216733</v>
      </c>
      <c r="E59" s="120">
        <v>1.6979708476163231</v>
      </c>
      <c r="F59" s="120">
        <v>0.67918833904652931</v>
      </c>
      <c r="G59" s="120">
        <v>24.76008257527684</v>
      </c>
      <c r="H59" s="120">
        <v>16.936783773135492</v>
      </c>
      <c r="I59" s="120">
        <v>26.665817135807497</v>
      </c>
      <c r="J59" s="120">
        <v>63.878274556831215</v>
      </c>
      <c r="K59" s="120">
        <v>55.839886246039875</v>
      </c>
      <c r="L59" s="120">
        <v>8.8079548272193708</v>
      </c>
      <c r="M59" s="120">
        <v>33.219822858559482</v>
      </c>
      <c r="N59" s="121">
        <f t="shared" si="1"/>
        <v>97.867663931818726</v>
      </c>
      <c r="O59" s="121">
        <f t="shared" si="2"/>
        <v>246.88496124341339</v>
      </c>
      <c r="P59">
        <v>97.867663931818726</v>
      </c>
      <c r="Q59">
        <f t="shared" si="0"/>
        <v>57</v>
      </c>
      <c r="S59" s="131"/>
      <c r="T59" s="127"/>
      <c r="U59" s="127">
        <f>+(T52-1)*10+8</f>
        <v>48</v>
      </c>
      <c r="V59" s="128" t="s">
        <v>237</v>
      </c>
      <c r="W59" s="129"/>
      <c r="X59" s="129"/>
      <c r="Y59" s="130"/>
    </row>
    <row r="60" spans="1:25" x14ac:dyDescent="0.2">
      <c r="A60">
        <v>58</v>
      </c>
      <c r="B60" t="s">
        <v>370</v>
      </c>
      <c r="C60" s="120">
        <v>147.9166679352474</v>
      </c>
      <c r="D60" s="120">
        <v>15.893206092042004</v>
      </c>
      <c r="E60" s="120">
        <v>0.54433560243781665</v>
      </c>
      <c r="F60" s="120">
        <v>0.21773424097512661</v>
      </c>
      <c r="G60" s="120">
        <v>15.218589206516722</v>
      </c>
      <c r="H60" s="120">
        <v>6.7741585919301874</v>
      </c>
      <c r="I60" s="120">
        <v>10.223362910201512</v>
      </c>
      <c r="J60" s="120">
        <v>1.7311396297209394</v>
      </c>
      <c r="K60" s="120">
        <v>664.7670612876318</v>
      </c>
      <c r="L60" s="120">
        <v>30.444422273121702</v>
      </c>
      <c r="M60" s="120">
        <v>7.7800873991559145</v>
      </c>
      <c r="N60" s="121">
        <f t="shared" si="1"/>
        <v>702.9915709599095</v>
      </c>
      <c r="O60" s="121">
        <f t="shared" si="2"/>
        <v>198.51919420907169</v>
      </c>
      <c r="P60">
        <v>702.99157095990938</v>
      </c>
      <c r="Q60">
        <f t="shared" si="0"/>
        <v>58</v>
      </c>
      <c r="S60" s="131"/>
      <c r="T60" s="127"/>
      <c r="U60" s="127">
        <f>+(T52-1)*10+9</f>
        <v>49</v>
      </c>
      <c r="V60" s="128" t="s">
        <v>238</v>
      </c>
      <c r="W60" s="129">
        <f>VLOOKUP(S52,$B$3:$M$63,9,FALSE)</f>
        <v>0.70809145569882126</v>
      </c>
      <c r="X60" s="129">
        <f>VLOOKUP(S52,$B$3:$M$63,12,FALSE)</f>
        <v>14.858036567217297</v>
      </c>
      <c r="Y60" s="130">
        <v>0</v>
      </c>
    </row>
    <row r="61" spans="1:25" x14ac:dyDescent="0.2">
      <c r="A61">
        <v>59</v>
      </c>
      <c r="B61" t="s">
        <v>371</v>
      </c>
      <c r="C61" s="120">
        <v>22.34911479818129</v>
      </c>
      <c r="D61" s="120">
        <v>14.548269507323461</v>
      </c>
      <c r="E61" s="120">
        <v>14.83080840971297</v>
      </c>
      <c r="F61" s="120">
        <v>15.693391333931865</v>
      </c>
      <c r="G61" s="120">
        <v>21.802999816889173</v>
      </c>
      <c r="H61" s="120">
        <v>8.3857691603419902</v>
      </c>
      <c r="I61" s="120">
        <v>55.34607645825713</v>
      </c>
      <c r="J61" s="120">
        <v>34.494526010300362</v>
      </c>
      <c r="K61" s="120">
        <v>45.142664810060808</v>
      </c>
      <c r="L61" s="120">
        <v>11.139099108976044</v>
      </c>
      <c r="M61" s="120">
        <v>2.9313418707831693</v>
      </c>
      <c r="N61" s="121">
        <f t="shared" si="1"/>
        <v>59.21310578982002</v>
      </c>
      <c r="O61" s="121">
        <f t="shared" si="2"/>
        <v>187.45095549493823</v>
      </c>
      <c r="P61">
        <v>59.21310578982002</v>
      </c>
      <c r="Q61">
        <f t="shared" si="0"/>
        <v>59</v>
      </c>
      <c r="T61" s="132"/>
      <c r="U61" s="127">
        <f>+(T52-1)*10+10</f>
        <v>50</v>
      </c>
      <c r="V61" s="123" t="s">
        <v>324</v>
      </c>
      <c r="W61" s="133">
        <f>SUM(W52:W60)</f>
        <v>41.88455043879344</v>
      </c>
      <c r="X61" s="133">
        <f>SUM(X52:X60)</f>
        <v>119.79291982318945</v>
      </c>
      <c r="Y61" s="125">
        <v>0</v>
      </c>
    </row>
    <row r="62" spans="1:25" x14ac:dyDescent="0.2">
      <c r="A62">
        <v>60</v>
      </c>
      <c r="B62" t="s">
        <v>372</v>
      </c>
      <c r="C62" s="120">
        <v>0</v>
      </c>
      <c r="D62" s="120">
        <v>0</v>
      </c>
      <c r="E62" s="120">
        <v>0</v>
      </c>
      <c r="F62" s="120">
        <v>0</v>
      </c>
      <c r="G62" s="120">
        <v>0</v>
      </c>
      <c r="H62" s="120">
        <v>0</v>
      </c>
      <c r="I62" s="120">
        <v>0</v>
      </c>
      <c r="J62" s="120">
        <v>0</v>
      </c>
      <c r="K62" s="120">
        <v>0</v>
      </c>
      <c r="L62" s="120">
        <v>0</v>
      </c>
      <c r="M62" s="120">
        <v>0</v>
      </c>
      <c r="N62" s="121">
        <f t="shared" si="1"/>
        <v>0</v>
      </c>
      <c r="O62" s="121">
        <f t="shared" si="2"/>
        <v>0</v>
      </c>
      <c r="P62">
        <v>0</v>
      </c>
      <c r="Q62">
        <f t="shared" si="0"/>
        <v>60</v>
      </c>
      <c r="T62" s="132"/>
      <c r="U62" s="132"/>
      <c r="V62" s="132"/>
      <c r="W62" s="132"/>
      <c r="X62" s="132"/>
      <c r="Y62" s="132"/>
    </row>
    <row r="63" spans="1:25" x14ac:dyDescent="0.2">
      <c r="A63">
        <v>61</v>
      </c>
      <c r="B63" t="s">
        <v>373</v>
      </c>
      <c r="C63" s="120">
        <v>0</v>
      </c>
      <c r="D63" s="120">
        <v>0</v>
      </c>
      <c r="E63" s="120">
        <v>0</v>
      </c>
      <c r="F63" s="120">
        <v>0</v>
      </c>
      <c r="G63" s="120">
        <v>0</v>
      </c>
      <c r="H63" s="120">
        <v>0</v>
      </c>
      <c r="I63" s="120">
        <v>0</v>
      </c>
      <c r="J63" s="120">
        <v>0</v>
      </c>
      <c r="K63" s="120">
        <v>0</v>
      </c>
      <c r="L63" s="120">
        <v>0</v>
      </c>
      <c r="M63" s="120">
        <v>0</v>
      </c>
      <c r="N63" s="121">
        <f t="shared" si="1"/>
        <v>0</v>
      </c>
      <c r="O63" s="121">
        <f t="shared" si="2"/>
        <v>0</v>
      </c>
      <c r="P63">
        <v>0</v>
      </c>
      <c r="Q63">
        <f>+A63</f>
        <v>61</v>
      </c>
      <c r="S63" s="122"/>
      <c r="T63" s="122"/>
      <c r="U63" s="122"/>
      <c r="V63" s="123" t="s">
        <v>227</v>
      </c>
      <c r="W63" s="124" t="s">
        <v>228</v>
      </c>
      <c r="X63" s="124" t="s">
        <v>229</v>
      </c>
      <c r="Y63" s="125" t="s">
        <v>239</v>
      </c>
    </row>
    <row r="64" spans="1:25" x14ac:dyDescent="0.2">
      <c r="C64" s="134"/>
      <c r="D64" s="134"/>
      <c r="E64" s="134"/>
      <c r="F64" s="134"/>
      <c r="G64" s="134"/>
      <c r="H64" s="134"/>
      <c r="I64" s="134"/>
      <c r="Q64">
        <f>+A64</f>
        <v>0</v>
      </c>
      <c r="S64" s="126" t="str">
        <f>VLOOKUP(T64,$A$3:$P$63,2,FALSE)</f>
        <v>Library</v>
      </c>
      <c r="T64" s="127">
        <f>+T52+1</f>
        <v>6</v>
      </c>
      <c r="U64" s="127">
        <f>+(T64-1)*10+1</f>
        <v>51</v>
      </c>
      <c r="V64" s="128" t="s">
        <v>230</v>
      </c>
      <c r="W64" s="129">
        <f>VLOOKUP(S64,$B$3:$M$63,2,FALSE)</f>
        <v>11.879847867618098</v>
      </c>
      <c r="X64" s="129">
        <f>VLOOKUP(S64,$B$3:$M$63,10,FALSE)</f>
        <v>69.510093279398774</v>
      </c>
      <c r="Y64" s="130">
        <v>0</v>
      </c>
    </row>
    <row r="65" spans="3:25" x14ac:dyDescent="0.2">
      <c r="C65" s="134"/>
      <c r="D65" s="134"/>
      <c r="E65" s="134"/>
      <c r="F65" s="134"/>
      <c r="G65" s="134"/>
      <c r="H65" s="134"/>
      <c r="I65" s="134"/>
      <c r="Q65">
        <f>+A65</f>
        <v>0</v>
      </c>
      <c r="S65" s="131"/>
      <c r="T65" s="127"/>
      <c r="U65" s="127">
        <f>+(T64-1)*10+2</f>
        <v>52</v>
      </c>
      <c r="V65" s="128" t="s">
        <v>314</v>
      </c>
      <c r="W65" s="129">
        <f>VLOOKUP(S64,$B$3:$M$63,3,FALSE)</f>
        <v>6.6795741374122336E-2</v>
      </c>
      <c r="X65" s="129"/>
      <c r="Y65" s="130">
        <v>0</v>
      </c>
    </row>
    <row r="66" spans="3:25" x14ac:dyDescent="0.2">
      <c r="S66" s="131"/>
      <c r="T66" s="127"/>
      <c r="U66" s="127">
        <f>+(T64-1)*10+3</f>
        <v>53</v>
      </c>
      <c r="V66" s="128" t="s">
        <v>232</v>
      </c>
      <c r="W66" s="129">
        <f>VLOOKUP(S64,$B$3:$M$63,4,FALSE)</f>
        <v>2.4485242439194406</v>
      </c>
      <c r="X66" s="129"/>
      <c r="Y66" s="130">
        <v>0</v>
      </c>
    </row>
    <row r="67" spans="3:25" x14ac:dyDescent="0.2">
      <c r="S67" s="131"/>
      <c r="T67" s="127"/>
      <c r="U67" s="127">
        <f>+(T64-1)*10+4</f>
        <v>54</v>
      </c>
      <c r="V67" s="128" t="s">
        <v>317</v>
      </c>
      <c r="W67" s="129">
        <f>VLOOKUP(S64,$B$3:$M$63,5,FALSE)</f>
        <v>0.97940969756777629</v>
      </c>
      <c r="X67" s="129"/>
      <c r="Y67" s="130">
        <v>0</v>
      </c>
    </row>
    <row r="68" spans="3:25" x14ac:dyDescent="0.2">
      <c r="S68" s="131"/>
      <c r="T68" s="127"/>
      <c r="U68" s="127">
        <f>+(T64-1)*10+5</f>
        <v>55</v>
      </c>
      <c r="V68" s="128" t="s">
        <v>234</v>
      </c>
      <c r="W68" s="129">
        <f>VLOOKUP(S64,$B$3:$M$63,6,FALSE)</f>
        <v>0.13368942371800147</v>
      </c>
      <c r="X68" s="129"/>
      <c r="Y68" s="130">
        <v>0</v>
      </c>
    </row>
    <row r="69" spans="3:25" x14ac:dyDescent="0.2">
      <c r="S69" s="131"/>
      <c r="T69" s="127"/>
      <c r="U69" s="127">
        <f>+(T64-1)*10+6</f>
        <v>56</v>
      </c>
      <c r="V69" s="128" t="s">
        <v>235</v>
      </c>
      <c r="W69" s="129">
        <f>VLOOKUP(S64,$B$3:$M$63,7,FALSE)</f>
        <v>3.5418392893143493</v>
      </c>
      <c r="X69" s="129"/>
      <c r="Y69" s="130">
        <v>0</v>
      </c>
    </row>
    <row r="70" spans="3:25" x14ac:dyDescent="0.2">
      <c r="S70" s="131"/>
      <c r="T70" s="127"/>
      <c r="U70" s="127">
        <f>+(T64-1)*10+7</f>
        <v>57</v>
      </c>
      <c r="V70" s="128" t="s">
        <v>236</v>
      </c>
      <c r="W70" s="129">
        <f>VLOOKUP(S64,$B$3:$M$63,8,FALSE)</f>
        <v>44.728269714343739</v>
      </c>
      <c r="X70" s="129">
        <f>VLOOKUP(S64,$B$3:$M$63,11,FALSE)</f>
        <v>0</v>
      </c>
      <c r="Y70" s="130">
        <v>0</v>
      </c>
    </row>
    <row r="71" spans="3:25" x14ac:dyDescent="0.2">
      <c r="S71" s="131"/>
      <c r="T71" s="127"/>
      <c r="U71" s="127">
        <f>+(T64-1)*10+8</f>
        <v>58</v>
      </c>
      <c r="V71" s="128" t="s">
        <v>237</v>
      </c>
      <c r="W71" s="129"/>
      <c r="X71" s="129"/>
      <c r="Y71" s="130"/>
    </row>
    <row r="72" spans="3:25" x14ac:dyDescent="0.2">
      <c r="S72" s="131"/>
      <c r="T72" s="127"/>
      <c r="U72" s="127">
        <f>+(T64-1)*10+9</f>
        <v>59</v>
      </c>
      <c r="V72" s="128" t="s">
        <v>238</v>
      </c>
      <c r="W72" s="129">
        <f>VLOOKUP(S64,$B$3:$M$63,9,FALSE)</f>
        <v>9.937188732492416</v>
      </c>
      <c r="X72" s="129">
        <f>VLOOKUP(S64,$B$3:$M$63,12,FALSE)</f>
        <v>0</v>
      </c>
      <c r="Y72" s="130">
        <v>0</v>
      </c>
    </row>
    <row r="73" spans="3:25" x14ac:dyDescent="0.2">
      <c r="T73" s="132"/>
      <c r="U73" s="127">
        <f>+(T64-1)*10+10</f>
        <v>60</v>
      </c>
      <c r="V73" s="123" t="s">
        <v>324</v>
      </c>
      <c r="W73" s="133">
        <f>SUM(W64:W72)</f>
        <v>73.715564710347934</v>
      </c>
      <c r="X73" s="133">
        <f>SUM(X64:X72)</f>
        <v>69.510093279398774</v>
      </c>
      <c r="Y73" s="125">
        <v>0</v>
      </c>
    </row>
    <row r="74" spans="3:25" x14ac:dyDescent="0.2">
      <c r="T74" s="132"/>
      <c r="U74" s="132"/>
      <c r="V74" s="132"/>
      <c r="W74" s="132"/>
      <c r="X74" s="132"/>
      <c r="Y74" s="132"/>
    </row>
    <row r="75" spans="3:25" x14ac:dyDescent="0.2">
      <c r="S75" s="122"/>
      <c r="T75" s="122"/>
      <c r="U75" s="122"/>
      <c r="V75" s="123" t="s">
        <v>227</v>
      </c>
      <c r="W75" s="124" t="s">
        <v>228</v>
      </c>
      <c r="X75" s="124" t="s">
        <v>229</v>
      </c>
      <c r="Y75" s="125" t="s">
        <v>239</v>
      </c>
    </row>
    <row r="76" spans="3:25" ht="30" x14ac:dyDescent="0.2">
      <c r="S76" s="126" t="str">
        <f>VLOOKUP(T76,$A$3:$P$63,2,FALSE)</f>
        <v>Place of worship</v>
      </c>
      <c r="T76" s="127">
        <f>+T64+1</f>
        <v>7</v>
      </c>
      <c r="U76" s="127">
        <f>+(T76-1)*10+1</f>
        <v>61</v>
      </c>
      <c r="V76" s="128" t="s">
        <v>230</v>
      </c>
      <c r="W76" s="129">
        <f>VLOOKUP(S76,$B$3:$M$63,2,FALSE)</f>
        <v>12.391122186971467</v>
      </c>
      <c r="X76" s="129">
        <f>VLOOKUP(S76,$B$3:$M$63,10,FALSE)</f>
        <v>97.505864972363511</v>
      </c>
      <c r="Y76" s="130">
        <v>0</v>
      </c>
    </row>
    <row r="77" spans="3:25" x14ac:dyDescent="0.2">
      <c r="S77" s="131"/>
      <c r="T77" s="127"/>
      <c r="U77" s="127">
        <f>+(T76-1)*10+2</f>
        <v>62</v>
      </c>
      <c r="V77" s="128" t="s">
        <v>314</v>
      </c>
      <c r="W77" s="129">
        <f>VLOOKUP(S76,$B$3:$M$63,3,FALSE)</f>
        <v>5.7574714894349469E-2</v>
      </c>
      <c r="X77" s="129"/>
      <c r="Y77" s="130">
        <v>0</v>
      </c>
    </row>
    <row r="78" spans="3:25" x14ac:dyDescent="0.2">
      <c r="S78" s="131"/>
      <c r="T78" s="127"/>
      <c r="U78" s="127">
        <f>+(T76-1)*10+3</f>
        <v>63</v>
      </c>
      <c r="V78" s="128" t="s">
        <v>232</v>
      </c>
      <c r="W78" s="129">
        <f>VLOOKUP(S76,$B$3:$M$63,4,FALSE)</f>
        <v>2.7359773410694102</v>
      </c>
      <c r="X78" s="129"/>
      <c r="Y78" s="130">
        <v>0</v>
      </c>
    </row>
    <row r="79" spans="3:25" x14ac:dyDescent="0.2">
      <c r="S79" s="131"/>
      <c r="T79" s="127"/>
      <c r="U79" s="127">
        <f>+(T76-1)*10+4</f>
        <v>64</v>
      </c>
      <c r="V79" s="128" t="s">
        <v>317</v>
      </c>
      <c r="W79" s="129">
        <f>VLOOKUP(S76,$B$3:$M$63,5,FALSE)</f>
        <v>1.094390936427764</v>
      </c>
      <c r="X79" s="129"/>
      <c r="Y79" s="130">
        <v>0</v>
      </c>
    </row>
    <row r="80" spans="3:25" x14ac:dyDescent="0.2">
      <c r="S80" s="131"/>
      <c r="T80" s="127"/>
      <c r="U80" s="127">
        <f>+(T76-1)*10+5</f>
        <v>65</v>
      </c>
      <c r="V80" s="128" t="s">
        <v>234</v>
      </c>
      <c r="W80" s="129">
        <f>VLOOKUP(S76,$B$3:$M$63,6,FALSE)</f>
        <v>6.7031444856200544</v>
      </c>
      <c r="X80" s="129"/>
      <c r="Y80" s="130">
        <v>0</v>
      </c>
    </row>
    <row r="81" spans="19:25" x14ac:dyDescent="0.2">
      <c r="S81" s="131"/>
      <c r="T81" s="127"/>
      <c r="U81" s="127">
        <f>+(T76-1)*10+6</f>
        <v>66</v>
      </c>
      <c r="V81" s="128" t="s">
        <v>235</v>
      </c>
      <c r="W81" s="129">
        <f>VLOOKUP(S76,$B$3:$M$63,7,FALSE)</f>
        <v>1.9151841387485871</v>
      </c>
      <c r="X81" s="129"/>
      <c r="Y81" s="130">
        <v>0</v>
      </c>
    </row>
    <row r="82" spans="19:25" x14ac:dyDescent="0.2">
      <c r="S82" s="131"/>
      <c r="T82" s="127"/>
      <c r="U82" s="127">
        <f>+(T76-1)*10+7</f>
        <v>67</v>
      </c>
      <c r="V82" s="128" t="s">
        <v>236</v>
      </c>
      <c r="W82" s="129">
        <f>VLOOKUP(S76,$B$3:$M$63,8,FALSE)</f>
        <v>16.279065179362991</v>
      </c>
      <c r="X82" s="129">
        <f>VLOOKUP(S76,$B$3:$M$63,11,FALSE)</f>
        <v>7.4290182836086487</v>
      </c>
      <c r="Y82" s="130">
        <v>0</v>
      </c>
    </row>
    <row r="83" spans="19:25" x14ac:dyDescent="0.2">
      <c r="S83" s="131"/>
      <c r="T83" s="127"/>
      <c r="U83" s="127">
        <f>+(T76-1)*10+8</f>
        <v>68</v>
      </c>
      <c r="V83" s="128" t="s">
        <v>237</v>
      </c>
      <c r="W83" s="129"/>
      <c r="X83" s="129"/>
      <c r="Y83" s="130"/>
    </row>
    <row r="84" spans="19:25" x14ac:dyDescent="0.2">
      <c r="S84" s="131"/>
      <c r="T84" s="127"/>
      <c r="U84" s="127">
        <f>+(T76-1)*10+9</f>
        <v>69</v>
      </c>
      <c r="V84" s="128" t="s">
        <v>238</v>
      </c>
      <c r="W84" s="129">
        <f>VLOOKUP(S76,$B$3:$M$63,9,FALSE)</f>
        <v>0.70809145569882126</v>
      </c>
      <c r="X84" s="129">
        <f>VLOOKUP(S76,$B$3:$M$63,12,FALSE)</f>
        <v>14.858036567217297</v>
      </c>
      <c r="Y84" s="130">
        <v>0</v>
      </c>
    </row>
    <row r="85" spans="19:25" x14ac:dyDescent="0.2">
      <c r="T85" s="132"/>
      <c r="U85" s="127">
        <f>+(T76-1)*10+10</f>
        <v>70</v>
      </c>
      <c r="V85" s="123" t="s">
        <v>324</v>
      </c>
      <c r="W85" s="133">
        <f>SUM(W76:W84)</f>
        <v>41.88455043879344</v>
      </c>
      <c r="X85" s="133">
        <f>SUM(X76:X84)</f>
        <v>119.79291982318945</v>
      </c>
      <c r="Y85" s="125">
        <v>0</v>
      </c>
    </row>
    <row r="86" spans="19:25" x14ac:dyDescent="0.2">
      <c r="T86" s="132"/>
      <c r="U86" s="132"/>
      <c r="V86" s="132"/>
      <c r="W86" s="132"/>
      <c r="X86" s="132"/>
      <c r="Y86" s="132"/>
    </row>
    <row r="87" spans="19:25" x14ac:dyDescent="0.2">
      <c r="S87" s="122"/>
      <c r="T87" s="122"/>
      <c r="U87" s="122"/>
      <c r="V87" s="123" t="s">
        <v>227</v>
      </c>
      <c r="W87" s="124" t="s">
        <v>228</v>
      </c>
      <c r="X87" s="124" t="s">
        <v>229</v>
      </c>
      <c r="Y87" s="125" t="s">
        <v>239</v>
      </c>
    </row>
    <row r="88" spans="19:25" ht="60" x14ac:dyDescent="0.2">
      <c r="S88" s="126" t="str">
        <f>VLOOKUP(T88,$A$3:$P$63,2,FALSE)</f>
        <v>Community asset common areas*</v>
      </c>
      <c r="T88" s="127">
        <f>+T76+1</f>
        <v>8</v>
      </c>
      <c r="U88" s="127">
        <f>+(T88-1)*10+1</f>
        <v>71</v>
      </c>
      <c r="V88" s="128" t="s">
        <v>230</v>
      </c>
      <c r="W88" s="129">
        <f>VLOOKUP(S88,$B$3:$M$63,2,FALSE)</f>
        <v>22.34911479818129</v>
      </c>
      <c r="X88" s="129">
        <f>VLOOKUP(S88,$B$3:$M$63,10,FALSE)</f>
        <v>45.142664810060808</v>
      </c>
      <c r="Y88" s="130">
        <v>0</v>
      </c>
    </row>
    <row r="89" spans="19:25" x14ac:dyDescent="0.2">
      <c r="S89" s="131"/>
      <c r="T89" s="127"/>
      <c r="U89" s="127">
        <f>+(T88-1)*10+2</f>
        <v>72</v>
      </c>
      <c r="V89" s="128" t="s">
        <v>314</v>
      </c>
      <c r="W89" s="129">
        <f>VLOOKUP(S88,$B$3:$M$63,3,FALSE)</f>
        <v>14.548269507323461</v>
      </c>
      <c r="X89" s="129"/>
      <c r="Y89" s="130">
        <v>0</v>
      </c>
    </row>
    <row r="90" spans="19:25" x14ac:dyDescent="0.2">
      <c r="S90" s="131"/>
      <c r="T90" s="127"/>
      <c r="U90" s="127">
        <f>+(T88-1)*10+3</f>
        <v>73</v>
      </c>
      <c r="V90" s="128" t="s">
        <v>232</v>
      </c>
      <c r="W90" s="129">
        <f>VLOOKUP(S88,$B$3:$M$63,4,FALSE)</f>
        <v>14.83080840971297</v>
      </c>
      <c r="X90" s="129"/>
      <c r="Y90" s="130">
        <v>0</v>
      </c>
    </row>
    <row r="91" spans="19:25" x14ac:dyDescent="0.2">
      <c r="S91" s="131"/>
      <c r="T91" s="127"/>
      <c r="U91" s="127">
        <f>+(T88-1)*10+4</f>
        <v>74</v>
      </c>
      <c r="V91" s="128" t="s">
        <v>317</v>
      </c>
      <c r="W91" s="129">
        <f>VLOOKUP(S88,$B$3:$M$63,5,FALSE)</f>
        <v>15.693391333931865</v>
      </c>
      <c r="X91" s="129"/>
      <c r="Y91" s="130">
        <v>0</v>
      </c>
    </row>
    <row r="92" spans="19:25" x14ac:dyDescent="0.2">
      <c r="S92" s="131"/>
      <c r="T92" s="127"/>
      <c r="U92" s="127">
        <f>+(T88-1)*10+5</f>
        <v>75</v>
      </c>
      <c r="V92" s="128" t="s">
        <v>234</v>
      </c>
      <c r="W92" s="129">
        <f>VLOOKUP(S88,$B$3:$M$63,6,FALSE)</f>
        <v>21.802999816889173</v>
      </c>
      <c r="X92" s="129"/>
      <c r="Y92" s="130">
        <v>0</v>
      </c>
    </row>
    <row r="93" spans="19:25" x14ac:dyDescent="0.2">
      <c r="S93" s="131"/>
      <c r="T93" s="127"/>
      <c r="U93" s="127">
        <f>+(T88-1)*10+6</f>
        <v>76</v>
      </c>
      <c r="V93" s="128" t="s">
        <v>235</v>
      </c>
      <c r="W93" s="129">
        <f>VLOOKUP(S88,$B$3:$M$63,7,FALSE)</f>
        <v>8.3857691603419902</v>
      </c>
      <c r="X93" s="129"/>
      <c r="Y93" s="130">
        <v>0</v>
      </c>
    </row>
    <row r="94" spans="19:25" x14ac:dyDescent="0.2">
      <c r="S94" s="131"/>
      <c r="T94" s="127"/>
      <c r="U94" s="127">
        <f>+(T88-1)*10+7</f>
        <v>77</v>
      </c>
      <c r="V94" s="128" t="s">
        <v>236</v>
      </c>
      <c r="W94" s="129">
        <f>VLOOKUP(S88,$B$3:$M$63,8,FALSE)</f>
        <v>55.34607645825713</v>
      </c>
      <c r="X94" s="129">
        <f>VLOOKUP(S88,$B$3:$M$63,11,FALSE)</f>
        <v>11.139099108976044</v>
      </c>
      <c r="Y94" s="130">
        <v>0</v>
      </c>
    </row>
    <row r="95" spans="19:25" x14ac:dyDescent="0.2">
      <c r="S95" s="131"/>
      <c r="T95" s="127"/>
      <c r="U95" s="127">
        <f>+(T88-1)*10+8</f>
        <v>78</v>
      </c>
      <c r="V95" s="128" t="s">
        <v>237</v>
      </c>
      <c r="W95" s="129"/>
      <c r="X95" s="129"/>
      <c r="Y95" s="130"/>
    </row>
    <row r="96" spans="19:25" x14ac:dyDescent="0.2">
      <c r="S96" s="131"/>
      <c r="T96" s="127"/>
      <c r="U96" s="127">
        <f>+(T88-1)*10+9</f>
        <v>79</v>
      </c>
      <c r="V96" s="128" t="s">
        <v>238</v>
      </c>
      <c r="W96" s="129">
        <f>VLOOKUP(S88,$B$3:$M$63,9,FALSE)</f>
        <v>34.494526010300362</v>
      </c>
      <c r="X96" s="129">
        <f>VLOOKUP(S88,$B$3:$M$63,12,FALSE)</f>
        <v>2.9313418707831693</v>
      </c>
      <c r="Y96" s="130">
        <v>0</v>
      </c>
    </row>
    <row r="97" spans="19:25" x14ac:dyDescent="0.2">
      <c r="T97" s="132"/>
      <c r="U97" s="127">
        <f>+(T88-1)*10+10</f>
        <v>80</v>
      </c>
      <c r="V97" s="123" t="s">
        <v>324</v>
      </c>
      <c r="W97" s="133">
        <f>SUM(W88:W96)</f>
        <v>187.45095549493823</v>
      </c>
      <c r="X97" s="133">
        <f>SUM(X88:X96)</f>
        <v>59.21310578982002</v>
      </c>
      <c r="Y97" s="125">
        <v>0</v>
      </c>
    </row>
    <row r="98" spans="19:25" x14ac:dyDescent="0.2">
      <c r="T98" s="132"/>
      <c r="U98" s="132"/>
      <c r="V98" s="132"/>
      <c r="W98" s="132"/>
      <c r="X98" s="132"/>
      <c r="Y98" s="132"/>
    </row>
    <row r="99" spans="19:25" x14ac:dyDescent="0.2">
      <c r="S99" s="122"/>
      <c r="T99" s="122"/>
      <c r="U99" s="122"/>
      <c r="V99" s="123" t="s">
        <v>227</v>
      </c>
      <c r="W99" s="124" t="s">
        <v>228</v>
      </c>
      <c r="X99" s="124" t="s">
        <v>229</v>
      </c>
      <c r="Y99" s="125" t="s">
        <v>239</v>
      </c>
    </row>
    <row r="100" spans="19:25" ht="75" x14ac:dyDescent="0.2">
      <c r="S100" s="126" t="str">
        <f>VLOOKUP(T100,$A$3:$P$63,2,FALSE)</f>
        <v>Further/Higher Education: Institutional catering</v>
      </c>
      <c r="T100" s="127">
        <f>+T88+1</f>
        <v>9</v>
      </c>
      <c r="U100" s="127">
        <f>+(T100-1)*10+1</f>
        <v>81</v>
      </c>
      <c r="V100" s="128" t="s">
        <v>230</v>
      </c>
      <c r="W100" s="129">
        <f>VLOOKUP(S100,$B$3:$M$63,2,FALSE)</f>
        <v>2.8749139630030225</v>
      </c>
      <c r="X100" s="129">
        <f>VLOOKUP(S100,$B$3:$M$63,10,FALSE)</f>
        <v>109</v>
      </c>
      <c r="Y100" s="130">
        <v>0</v>
      </c>
    </row>
    <row r="101" spans="19:25" x14ac:dyDescent="0.2">
      <c r="S101" s="131"/>
      <c r="T101" s="127"/>
      <c r="U101" s="127">
        <f>+(T100-1)*10+2</f>
        <v>82</v>
      </c>
      <c r="V101" s="128" t="s">
        <v>314</v>
      </c>
      <c r="W101" s="129">
        <f>VLOOKUP(S100,$B$3:$M$63,3,FALSE)</f>
        <v>0.12508603699697746</v>
      </c>
      <c r="X101" s="129"/>
      <c r="Y101" s="130">
        <v>0</v>
      </c>
    </row>
    <row r="102" spans="19:25" x14ac:dyDescent="0.2">
      <c r="S102" s="131"/>
      <c r="T102" s="127"/>
      <c r="U102" s="127">
        <f>+(T100-1)*10+3</f>
        <v>83</v>
      </c>
      <c r="V102" s="128" t="s">
        <v>232</v>
      </c>
      <c r="W102" s="129">
        <f>VLOOKUP(S100,$B$3:$M$63,4,FALSE)</f>
        <v>3.5968117860328608</v>
      </c>
      <c r="X102" s="129"/>
      <c r="Y102" s="130">
        <v>0</v>
      </c>
    </row>
    <row r="103" spans="19:25" x14ac:dyDescent="0.2">
      <c r="S103" s="131"/>
      <c r="T103" s="127"/>
      <c r="U103" s="127">
        <f>+(T100-1)*10+4</f>
        <v>84</v>
      </c>
      <c r="V103" s="128" t="s">
        <v>317</v>
      </c>
      <c r="W103" s="129">
        <f>VLOOKUP(S100,$B$3:$M$63,5,FALSE)</f>
        <v>1.4031882139671392</v>
      </c>
      <c r="X103" s="129"/>
      <c r="Y103" s="130">
        <v>0</v>
      </c>
    </row>
    <row r="104" spans="19:25" x14ac:dyDescent="0.2">
      <c r="S104" s="131"/>
      <c r="T104" s="127"/>
      <c r="U104" s="127">
        <f>+(T100-1)*10+5</f>
        <v>85</v>
      </c>
      <c r="V104" s="128" t="s">
        <v>234</v>
      </c>
      <c r="W104" s="129">
        <f>VLOOKUP(S100,$B$3:$M$63,6,FALSE)</f>
        <v>15</v>
      </c>
      <c r="X104" s="129"/>
      <c r="Y104" s="130">
        <v>0</v>
      </c>
    </row>
    <row r="105" spans="19:25" x14ac:dyDescent="0.2">
      <c r="S105" s="131"/>
      <c r="T105" s="127"/>
      <c r="U105" s="127">
        <f>+(T100-1)*10+6</f>
        <v>86</v>
      </c>
      <c r="V105" s="128" t="s">
        <v>235</v>
      </c>
      <c r="W105" s="129">
        <f>VLOOKUP(S100,$B$3:$M$63,7,FALSE)</f>
        <v>2</v>
      </c>
      <c r="X105" s="129"/>
      <c r="Y105" s="130">
        <v>0</v>
      </c>
    </row>
    <row r="106" spans="19:25" x14ac:dyDescent="0.2">
      <c r="S106" s="131"/>
      <c r="T106" s="127"/>
      <c r="U106" s="127">
        <f>+(T100-1)*10+7</f>
        <v>87</v>
      </c>
      <c r="V106" s="128" t="s">
        <v>236</v>
      </c>
      <c r="W106" s="129">
        <f>VLOOKUP(S100,$B$3:$M$63,8,FALSE)</f>
        <v>22</v>
      </c>
      <c r="X106" s="129">
        <f>VLOOKUP(S100,$B$3:$M$63,11,FALSE)</f>
        <v>7</v>
      </c>
      <c r="Y106" s="130">
        <v>0</v>
      </c>
    </row>
    <row r="107" spans="19:25" x14ac:dyDescent="0.2">
      <c r="S107" s="131"/>
      <c r="T107" s="127"/>
      <c r="U107" s="127">
        <f>+(T100-1)*10+8</f>
        <v>88</v>
      </c>
      <c r="V107" s="128" t="s">
        <v>237</v>
      </c>
      <c r="W107" s="129"/>
      <c r="X107" s="129"/>
      <c r="Y107" s="130"/>
    </row>
    <row r="108" spans="19:25" x14ac:dyDescent="0.2">
      <c r="S108" s="131"/>
      <c r="T108" s="127"/>
      <c r="U108" s="127">
        <f>+(T100-1)*10+9</f>
        <v>89</v>
      </c>
      <c r="V108" s="128" t="s">
        <v>238</v>
      </c>
      <c r="W108" s="129">
        <f>VLOOKUP(S100,$B$3:$M$63,9,FALSE)</f>
        <v>91.097099999999998</v>
      </c>
      <c r="X108" s="129">
        <f>VLOOKUP(S100,$B$3:$M$63,12,FALSE)</f>
        <v>12</v>
      </c>
      <c r="Y108" s="130">
        <v>0</v>
      </c>
    </row>
    <row r="109" spans="19:25" x14ac:dyDescent="0.2">
      <c r="T109" s="132"/>
      <c r="U109" s="127">
        <f>+(T100-1)*10+10</f>
        <v>90</v>
      </c>
      <c r="V109" s="123" t="s">
        <v>324</v>
      </c>
      <c r="W109" s="133">
        <f>SUM(W100:W108)</f>
        <v>138.09710000000001</v>
      </c>
      <c r="X109" s="133">
        <f>SUM(X100:X108)</f>
        <v>128</v>
      </c>
      <c r="Y109" s="125">
        <v>0</v>
      </c>
    </row>
    <row r="110" spans="19:25" x14ac:dyDescent="0.2">
      <c r="T110" s="132"/>
      <c r="U110" s="132"/>
      <c r="V110" s="132"/>
      <c r="W110" s="132"/>
      <c r="X110" s="132"/>
      <c r="Y110" s="132"/>
    </row>
    <row r="111" spans="19:25" x14ac:dyDescent="0.2">
      <c r="S111" s="122"/>
      <c r="T111" s="122"/>
      <c r="U111" s="122"/>
      <c r="V111" s="123" t="s">
        <v>227</v>
      </c>
      <c r="W111" s="124" t="s">
        <v>228</v>
      </c>
      <c r="X111" s="124" t="s">
        <v>229</v>
      </c>
      <c r="Y111" s="125" t="s">
        <v>239</v>
      </c>
    </row>
    <row r="112" spans="19:25" ht="90" x14ac:dyDescent="0.2">
      <c r="S112" s="126" t="str">
        <f>VLOOKUP(T112,$A$3:$P$63,2,FALSE)</f>
        <v>Further/Higher Education: lecture room (non-science)</v>
      </c>
      <c r="T112" s="127">
        <f>+T100+1</f>
        <v>10</v>
      </c>
      <c r="U112" s="127">
        <f>+(T112-1)*10+1</f>
        <v>91</v>
      </c>
      <c r="V112" s="128" t="s">
        <v>230</v>
      </c>
      <c r="W112" s="129">
        <f>VLOOKUP(S112,$B$3:$M$63,2,FALSE)</f>
        <v>1.0903154752239506</v>
      </c>
      <c r="X112" s="129">
        <f>VLOOKUP(S112,$B$3:$M$63,10,FALSE)</f>
        <v>73.169222537490498</v>
      </c>
      <c r="Y112" s="130">
        <v>0</v>
      </c>
    </row>
    <row r="113" spans="19:25" x14ac:dyDescent="0.2">
      <c r="S113" s="131"/>
      <c r="T113" s="127"/>
      <c r="U113" s="127">
        <f>+(T112-1)*10+2</f>
        <v>92</v>
      </c>
      <c r="V113" s="128" t="s">
        <v>314</v>
      </c>
      <c r="W113" s="129">
        <f>VLOOKUP(S112,$B$3:$M$63,3,FALSE)</f>
        <v>0.11748834265656743</v>
      </c>
      <c r="X113" s="129"/>
      <c r="Y113" s="130">
        <v>0</v>
      </c>
    </row>
    <row r="114" spans="19:25" x14ac:dyDescent="0.2">
      <c r="S114" s="131"/>
      <c r="T114" s="127"/>
      <c r="U114" s="127">
        <f>+(T112-1)*10+3</f>
        <v>93</v>
      </c>
      <c r="V114" s="128" t="s">
        <v>232</v>
      </c>
      <c r="W114" s="129">
        <f>VLOOKUP(S112,$B$3:$M$63,4,FALSE)</f>
        <v>1.4378616879529977</v>
      </c>
      <c r="X114" s="129"/>
      <c r="Y114" s="130">
        <v>0</v>
      </c>
    </row>
    <row r="115" spans="19:25" x14ac:dyDescent="0.2">
      <c r="S115" s="131"/>
      <c r="T115" s="127"/>
      <c r="U115" s="127">
        <f>+(T112-1)*10+4</f>
        <v>94</v>
      </c>
      <c r="V115" s="128" t="s">
        <v>317</v>
      </c>
      <c r="W115" s="129">
        <f>VLOOKUP(S112,$B$3:$M$63,5,FALSE)</f>
        <v>0.57514467518119894</v>
      </c>
      <c r="X115" s="129"/>
      <c r="Y115" s="130">
        <v>0</v>
      </c>
    </row>
    <row r="116" spans="19:25" x14ac:dyDescent="0.2">
      <c r="S116" s="131"/>
      <c r="T116" s="127"/>
      <c r="U116" s="127">
        <f>+(T112-1)*10+5</f>
        <v>95</v>
      </c>
      <c r="V116" s="128" t="s">
        <v>234</v>
      </c>
      <c r="W116" s="129">
        <f>VLOOKUP(S112,$B$3:$M$63,6,FALSE)</f>
        <v>6.0390190894025899</v>
      </c>
      <c r="X116" s="129"/>
      <c r="Y116" s="130">
        <v>0</v>
      </c>
    </row>
    <row r="117" spans="19:25" x14ac:dyDescent="0.2">
      <c r="S117" s="131"/>
      <c r="T117" s="127"/>
      <c r="U117" s="127">
        <f>+(T112-1)*10+6</f>
        <v>96</v>
      </c>
      <c r="V117" s="128" t="s">
        <v>235</v>
      </c>
      <c r="W117" s="129">
        <f>VLOOKUP(S112,$B$3:$M$63,7,FALSE)</f>
        <v>0.80520254525367874</v>
      </c>
      <c r="X117" s="129"/>
      <c r="Y117" s="130">
        <v>0</v>
      </c>
    </row>
    <row r="118" spans="19:25" x14ac:dyDescent="0.2">
      <c r="S118" s="131"/>
      <c r="T118" s="127"/>
      <c r="U118" s="127">
        <f>+(T112-1)*10+7</f>
        <v>97</v>
      </c>
      <c r="V118" s="128" t="s">
        <v>236</v>
      </c>
      <c r="W118" s="129">
        <f>VLOOKUP(S112,$B$3:$M$63,8,FALSE)</f>
        <v>8.8572279977904653</v>
      </c>
      <c r="X118" s="129">
        <f>VLOOKUP(S112,$B$3:$M$63,11,FALSE)</f>
        <v>4.6989408969030588</v>
      </c>
      <c r="Y118" s="130">
        <v>0</v>
      </c>
    </row>
    <row r="119" spans="19:25" x14ac:dyDescent="0.2">
      <c r="S119" s="131"/>
      <c r="T119" s="127"/>
      <c r="U119" s="127">
        <f>+(T112-1)*10+8</f>
        <v>98</v>
      </c>
      <c r="V119" s="128" t="s">
        <v>237</v>
      </c>
      <c r="W119" s="129"/>
      <c r="X119" s="129"/>
      <c r="Y119" s="130"/>
    </row>
    <row r="120" spans="19:25" x14ac:dyDescent="0.2">
      <c r="S120" s="131"/>
      <c r="T120" s="127"/>
      <c r="U120" s="127">
        <f>+(T112-1)*10+9</f>
        <v>99</v>
      </c>
      <c r="V120" s="128" t="s">
        <v>238</v>
      </c>
      <c r="W120" s="129">
        <f>VLOOKUP(S112,$B$3:$M$63,9,FALSE)</f>
        <v>36.675808392614449</v>
      </c>
      <c r="X120" s="129">
        <f>VLOOKUP(S112,$B$3:$M$63,12,FALSE)</f>
        <v>8.0553272518338161</v>
      </c>
      <c r="Y120" s="130">
        <v>0</v>
      </c>
    </row>
    <row r="121" spans="19:25" x14ac:dyDescent="0.2">
      <c r="T121" s="132"/>
      <c r="U121" s="127">
        <f>+(T112-1)*10+10</f>
        <v>100</v>
      </c>
      <c r="V121" s="123" t="s">
        <v>324</v>
      </c>
      <c r="W121" s="133">
        <f>SUM(W112:W120)</f>
        <v>55.598068206075894</v>
      </c>
      <c r="X121" s="133">
        <f>SUM(X112:X120)</f>
        <v>85.923490686227368</v>
      </c>
      <c r="Y121" s="125">
        <v>0</v>
      </c>
    </row>
    <row r="122" spans="19:25" x14ac:dyDescent="0.2">
      <c r="T122" s="132"/>
      <c r="U122" s="132"/>
      <c r="V122" s="132"/>
      <c r="W122" s="132"/>
      <c r="X122" s="132"/>
      <c r="Y122" s="132"/>
    </row>
    <row r="123" spans="19:25" x14ac:dyDescent="0.2">
      <c r="S123" s="122"/>
      <c r="T123" s="122"/>
      <c r="U123" s="122"/>
      <c r="V123" s="123" t="s">
        <v>227</v>
      </c>
      <c r="W123" s="124" t="s">
        <v>228</v>
      </c>
      <c r="X123" s="124" t="s">
        <v>229</v>
      </c>
      <c r="Y123" s="125" t="s">
        <v>239</v>
      </c>
    </row>
    <row r="124" spans="19:25" ht="90" x14ac:dyDescent="0.2">
      <c r="S124" s="126" t="str">
        <f>VLOOKUP(T124,$A$3:$P$63,2,FALSE)</f>
        <v>Further/Higher Education: lecture room (science)</v>
      </c>
      <c r="T124" s="127">
        <f>+T112+1</f>
        <v>11</v>
      </c>
      <c r="U124" s="127">
        <f>+(T124-1)*10+1</f>
        <v>101</v>
      </c>
      <c r="V124" s="128" t="s">
        <v>230</v>
      </c>
      <c r="W124" s="129">
        <f>VLOOKUP(S124,$B$3:$M$63,2,FALSE)</f>
        <v>1.5630487580533046</v>
      </c>
      <c r="X124" s="129">
        <f>VLOOKUP(S124,$B$3:$M$63,10,FALSE)</f>
        <v>104.9156811974038</v>
      </c>
      <c r="Y124" s="130">
        <v>0</v>
      </c>
    </row>
    <row r="125" spans="19:25" x14ac:dyDescent="0.2">
      <c r="S125" s="131"/>
      <c r="T125" s="127"/>
      <c r="U125" s="127">
        <f>+(T124-1)*10+2</f>
        <v>102</v>
      </c>
      <c r="V125" s="128" t="s">
        <v>314</v>
      </c>
      <c r="W125" s="129">
        <f>VLOOKUP(S124,$B$3:$M$63,3,FALSE)</f>
        <v>0.16832832779035586</v>
      </c>
      <c r="X125" s="129"/>
      <c r="Y125" s="130">
        <v>0</v>
      </c>
    </row>
    <row r="126" spans="19:25" x14ac:dyDescent="0.2">
      <c r="S126" s="131"/>
      <c r="T126" s="127"/>
      <c r="U126" s="127">
        <f>+(T124-1)*10+3</f>
        <v>103</v>
      </c>
      <c r="V126" s="128" t="s">
        <v>232</v>
      </c>
      <c r="W126" s="129">
        <f>VLOOKUP(S124,$B$3:$M$63,4,FALSE)</f>
        <v>2.0611631974329292</v>
      </c>
      <c r="X126" s="129"/>
      <c r="Y126" s="130">
        <v>0</v>
      </c>
    </row>
    <row r="127" spans="19:25" x14ac:dyDescent="0.2">
      <c r="S127" s="131"/>
      <c r="T127" s="127"/>
      <c r="U127" s="127">
        <f>+(T124-1)*10+4</f>
        <v>104</v>
      </c>
      <c r="V127" s="128" t="s">
        <v>317</v>
      </c>
      <c r="W127" s="129">
        <f>VLOOKUP(S124,$B$3:$M$63,5,FALSE)</f>
        <v>0.82446527897317146</v>
      </c>
      <c r="X127" s="129"/>
      <c r="Y127" s="130">
        <v>0</v>
      </c>
    </row>
    <row r="128" spans="19:25" x14ac:dyDescent="0.2">
      <c r="S128" s="131"/>
      <c r="T128" s="127"/>
      <c r="U128" s="127">
        <f>+(T124-1)*10+5</f>
        <v>105</v>
      </c>
      <c r="V128" s="128" t="s">
        <v>234</v>
      </c>
      <c r="W128" s="129">
        <f>VLOOKUP(S124,$B$3:$M$63,6,FALSE)</f>
        <v>8.6568854292183026</v>
      </c>
      <c r="X128" s="129"/>
      <c r="Y128" s="130">
        <v>0</v>
      </c>
    </row>
    <row r="129" spans="19:25" x14ac:dyDescent="0.2">
      <c r="S129" s="131"/>
      <c r="T129" s="127"/>
      <c r="U129" s="127">
        <f>+(T124-1)*10+6</f>
        <v>106</v>
      </c>
      <c r="V129" s="128" t="s">
        <v>235</v>
      </c>
      <c r="W129" s="129">
        <f>VLOOKUP(S124,$B$3:$M$63,7,FALSE)</f>
        <v>1.1542513905624403</v>
      </c>
      <c r="X129" s="129"/>
      <c r="Y129" s="130">
        <v>0</v>
      </c>
    </row>
    <row r="130" spans="19:25" x14ac:dyDescent="0.2">
      <c r="S130" s="131"/>
      <c r="T130" s="127"/>
      <c r="U130" s="127">
        <f>+(T124-1)*10+7</f>
        <v>107</v>
      </c>
      <c r="V130" s="128" t="s">
        <v>236</v>
      </c>
      <c r="W130" s="129">
        <f>VLOOKUP(S124,$B$3:$M$63,8,FALSE)</f>
        <v>12.696765296186843</v>
      </c>
      <c r="X130" s="129">
        <f>VLOOKUP(S124,$B$3:$M$63,11,FALSE)</f>
        <v>6.7377042970809784</v>
      </c>
      <c r="Y130" s="130">
        <v>0</v>
      </c>
    </row>
    <row r="131" spans="19:25" x14ac:dyDescent="0.2">
      <c r="S131" s="131"/>
      <c r="T131" s="127"/>
      <c r="U131" s="127">
        <f>+(T124-1)*10+8</f>
        <v>108</v>
      </c>
      <c r="V131" s="128" t="s">
        <v>237</v>
      </c>
      <c r="W131" s="129"/>
      <c r="X131" s="129"/>
      <c r="Y131" s="130"/>
    </row>
    <row r="132" spans="19:25" x14ac:dyDescent="0.2">
      <c r="S132" s="131"/>
      <c r="T132" s="127"/>
      <c r="U132" s="127">
        <f>+(T124-1)*10+9</f>
        <v>109</v>
      </c>
      <c r="V132" s="128" t="s">
        <v>238</v>
      </c>
      <c r="W132" s="129">
        <f>VLOOKUP(S124,$B$3:$M$63,9,FALSE)</f>
        <v>52.574477175602837</v>
      </c>
      <c r="X132" s="129">
        <f>VLOOKUP(S124,$B$3:$M$63,12,FALSE)</f>
        <v>11.550350223567392</v>
      </c>
      <c r="Y132" s="130">
        <v>0</v>
      </c>
    </row>
    <row r="133" spans="19:25" x14ac:dyDescent="0.2">
      <c r="T133" s="132"/>
      <c r="U133" s="127">
        <f>+(T124-1)*10+10</f>
        <v>110</v>
      </c>
      <c r="V133" s="123" t="s">
        <v>324</v>
      </c>
      <c r="W133" s="133">
        <f>SUM(W124:W132)</f>
        <v>79.699384853820192</v>
      </c>
      <c r="X133" s="133">
        <f>SUM(X124:X132)</f>
        <v>123.20373571805217</v>
      </c>
      <c r="Y133" s="125">
        <v>0</v>
      </c>
    </row>
    <row r="134" spans="19:25" x14ac:dyDescent="0.2">
      <c r="T134" s="132"/>
      <c r="U134" s="132"/>
      <c r="V134" s="132"/>
      <c r="W134" s="132"/>
      <c r="X134" s="132"/>
      <c r="Y134" s="132"/>
    </row>
    <row r="135" spans="19:25" x14ac:dyDescent="0.2">
      <c r="S135" s="122"/>
      <c r="T135" s="122"/>
      <c r="U135" s="122"/>
      <c r="V135" s="123" t="s">
        <v>227</v>
      </c>
      <c r="W135" s="124" t="s">
        <v>228</v>
      </c>
      <c r="X135" s="124" t="s">
        <v>229</v>
      </c>
      <c r="Y135" s="125" t="s">
        <v>239</v>
      </c>
    </row>
    <row r="136" spans="19:25" ht="60" x14ac:dyDescent="0.2">
      <c r="S136" s="126" t="str">
        <f>VLOOKUP(T136,$A$3:$P$63,2,FALSE)</f>
        <v>Further/Higher Education: library</v>
      </c>
      <c r="T136" s="127">
        <f>+T124+1</f>
        <v>12</v>
      </c>
      <c r="U136" s="127">
        <f>+(T136-1)*10+1</f>
        <v>111</v>
      </c>
      <c r="V136" s="128" t="s">
        <v>230</v>
      </c>
      <c r="W136" s="129">
        <f>VLOOKUP(S136,$B$3:$M$63,2,FALSE)</f>
        <v>2.6891318371673041</v>
      </c>
      <c r="X136" s="129">
        <f>VLOOKUP(S136,$B$3:$M$63,10,FALSE)</f>
        <v>180.50886688315032</v>
      </c>
      <c r="Y136" s="130">
        <v>0</v>
      </c>
    </row>
    <row r="137" spans="19:25" x14ac:dyDescent="0.2">
      <c r="S137" s="131"/>
      <c r="T137" s="127"/>
      <c r="U137" s="127">
        <f>+(T136-1)*10+2</f>
        <v>112</v>
      </c>
      <c r="V137" s="128" t="s">
        <v>314</v>
      </c>
      <c r="W137" s="129">
        <f>VLOOKUP(S136,$B$3:$M$63,3,FALSE)</f>
        <v>0.28972616539401469</v>
      </c>
      <c r="X137" s="129"/>
      <c r="Y137" s="130">
        <v>0</v>
      </c>
    </row>
    <row r="138" spans="19:25" x14ac:dyDescent="0.2">
      <c r="S138" s="131"/>
      <c r="T138" s="127"/>
      <c r="U138" s="127">
        <f>+(T136-1)*10+3</f>
        <v>113</v>
      </c>
      <c r="V138" s="128" t="s">
        <v>232</v>
      </c>
      <c r="W138" s="129">
        <f>VLOOKUP(S136,$B$3:$M$63,4,FALSE)</f>
        <v>3.5462595268587136</v>
      </c>
      <c r="X138" s="129"/>
      <c r="Y138" s="130">
        <v>0</v>
      </c>
    </row>
    <row r="139" spans="19:25" x14ac:dyDescent="0.2">
      <c r="S139" s="131"/>
      <c r="T139" s="127"/>
      <c r="U139" s="127">
        <f>+(T136-1)*10+4</f>
        <v>114</v>
      </c>
      <c r="V139" s="128" t="s">
        <v>317</v>
      </c>
      <c r="W139" s="129">
        <f>VLOOKUP(S136,$B$3:$M$63,5,FALSE)</f>
        <v>1.4185038107434851</v>
      </c>
      <c r="X139" s="129"/>
      <c r="Y139" s="130">
        <v>0</v>
      </c>
    </row>
    <row r="140" spans="19:25" x14ac:dyDescent="0.2">
      <c r="S140" s="131"/>
      <c r="T140" s="127"/>
      <c r="U140" s="127">
        <f>+(T136-1)*10+5</f>
        <v>115</v>
      </c>
      <c r="V140" s="128" t="s">
        <v>234</v>
      </c>
      <c r="W140" s="129">
        <f>VLOOKUP(S136,$B$3:$M$63,6,FALSE)</f>
        <v>14.894290012806596</v>
      </c>
      <c r="X140" s="129"/>
      <c r="Y140" s="130">
        <v>0</v>
      </c>
    </row>
    <row r="141" spans="19:25" x14ac:dyDescent="0.2">
      <c r="S141" s="131"/>
      <c r="T141" s="127"/>
      <c r="U141" s="127">
        <f>+(T136-1)*10+6</f>
        <v>116</v>
      </c>
      <c r="V141" s="128" t="s">
        <v>235</v>
      </c>
      <c r="W141" s="129">
        <f>VLOOKUP(S136,$B$3:$M$63,7,FALSE)</f>
        <v>1.9859053350408793</v>
      </c>
      <c r="X141" s="129"/>
      <c r="Y141" s="130">
        <v>0</v>
      </c>
    </row>
    <row r="142" spans="19:25" x14ac:dyDescent="0.2">
      <c r="S142" s="131"/>
      <c r="T142" s="127"/>
      <c r="U142" s="127">
        <f>+(T136-1)*10+7</f>
        <v>117</v>
      </c>
      <c r="V142" s="128" t="s">
        <v>236</v>
      </c>
      <c r="W142" s="129">
        <f>VLOOKUP(S136,$B$3:$M$63,8,FALSE)</f>
        <v>21.844958685449676</v>
      </c>
      <c r="X142" s="129">
        <f>VLOOKUP(S136,$B$3:$M$63,11,FALSE)</f>
        <v>11.592312552128918</v>
      </c>
      <c r="Y142" s="130">
        <v>0</v>
      </c>
    </row>
    <row r="143" spans="19:25" x14ac:dyDescent="0.2">
      <c r="S143" s="131"/>
      <c r="T143" s="127"/>
      <c r="U143" s="127">
        <f>+(T136-1)*10+8</f>
        <v>118</v>
      </c>
      <c r="V143" s="128" t="s">
        <v>237</v>
      </c>
      <c r="W143" s="129"/>
      <c r="X143" s="129"/>
      <c r="Y143" s="130"/>
    </row>
    <row r="144" spans="19:25" x14ac:dyDescent="0.2">
      <c r="S144" s="131"/>
      <c r="T144" s="127"/>
      <c r="U144" s="127">
        <f>+(T136-1)*10+9</f>
        <v>119</v>
      </c>
      <c r="V144" s="128" t="s">
        <v>238</v>
      </c>
      <c r="W144" s="129">
        <f>VLOOKUP(S136,$B$3:$M$63,9,FALSE)</f>
        <v>90.455108448376251</v>
      </c>
      <c r="X144" s="129">
        <f>VLOOKUP(S136,$B$3:$M$63,12,FALSE)</f>
        <v>19.872535803649576</v>
      </c>
      <c r="Y144" s="130">
        <v>0</v>
      </c>
    </row>
    <row r="145" spans="19:25" x14ac:dyDescent="0.2">
      <c r="T145" s="132"/>
      <c r="U145" s="127">
        <f>+(T136-1)*10+10</f>
        <v>120</v>
      </c>
      <c r="V145" s="123" t="s">
        <v>324</v>
      </c>
      <c r="W145" s="133">
        <f>SUM(W136:W144)</f>
        <v>137.12388382183693</v>
      </c>
      <c r="X145" s="133">
        <f>SUM(X136:X144)</f>
        <v>211.97371523892883</v>
      </c>
      <c r="Y145" s="125">
        <v>0</v>
      </c>
    </row>
    <row r="146" spans="19:25" x14ac:dyDescent="0.2">
      <c r="T146" s="132"/>
      <c r="U146" s="132"/>
      <c r="V146" s="132"/>
      <c r="W146" s="132"/>
      <c r="X146" s="132"/>
      <c r="Y146" s="132"/>
    </row>
    <row r="147" spans="19:25" x14ac:dyDescent="0.2">
      <c r="S147" s="122"/>
      <c r="T147" s="122"/>
      <c r="U147" s="122"/>
      <c r="V147" s="123" t="s">
        <v>227</v>
      </c>
      <c r="W147" s="124" t="s">
        <v>228</v>
      </c>
      <c r="X147" s="124" t="s">
        <v>229</v>
      </c>
      <c r="Y147" s="125" t="s">
        <v>239</v>
      </c>
    </row>
    <row r="148" spans="19:25" ht="60" x14ac:dyDescent="0.2">
      <c r="S148" s="126" t="str">
        <f>VLOOKUP(T148,$A$3:$P$63,2,FALSE)</f>
        <v>Further/Higher Education: laboratory</v>
      </c>
      <c r="T148" s="127">
        <f>+T136+1</f>
        <v>13</v>
      </c>
      <c r="U148" s="127">
        <f>+(T148-1)*10+1</f>
        <v>121</v>
      </c>
      <c r="V148" s="128" t="s">
        <v>230</v>
      </c>
      <c r="W148" s="129">
        <f>VLOOKUP(S148,$B$3:$M$63,2,FALSE)</f>
        <v>7.4857125050461564</v>
      </c>
      <c r="X148" s="129">
        <f>VLOOKUP(S148,$B$3:$M$63,10,FALSE)</f>
        <v>283.77837904993555</v>
      </c>
      <c r="Y148" s="130">
        <v>0</v>
      </c>
    </row>
    <row r="149" spans="19:25" x14ac:dyDescent="0.2">
      <c r="S149" s="131"/>
      <c r="T149" s="127"/>
      <c r="U149" s="127">
        <f>+(T148-1)*10+2</f>
        <v>122</v>
      </c>
      <c r="V149" s="128" t="s">
        <v>314</v>
      </c>
      <c r="W149" s="129">
        <f>VLOOKUP(S148,$B$3:$M$63,3,FALSE)</f>
        <v>9.1108187343742986E-2</v>
      </c>
      <c r="X149" s="129"/>
      <c r="Y149" s="130">
        <v>0</v>
      </c>
    </row>
    <row r="150" spans="19:25" x14ac:dyDescent="0.2">
      <c r="S150" s="131"/>
      <c r="T150" s="127"/>
      <c r="U150" s="127">
        <f>+(T148-1)*10+3</f>
        <v>123</v>
      </c>
      <c r="V150" s="128" t="s">
        <v>232</v>
      </c>
      <c r="W150" s="129">
        <f>VLOOKUP(S148,$B$3:$M$63,4,FALSE)</f>
        <v>123.66493052028977</v>
      </c>
      <c r="X150" s="129"/>
      <c r="Y150" s="130">
        <v>0</v>
      </c>
    </row>
    <row r="151" spans="19:25" x14ac:dyDescent="0.2">
      <c r="S151" s="131"/>
      <c r="T151" s="127"/>
      <c r="U151" s="127">
        <f>+(T148-1)*10+4</f>
        <v>124</v>
      </c>
      <c r="V151" s="128" t="s">
        <v>317</v>
      </c>
      <c r="W151" s="129">
        <f>VLOOKUP(S148,$B$3:$M$63,5,FALSE)</f>
        <v>6.0418458952487173</v>
      </c>
      <c r="X151" s="129"/>
      <c r="Y151" s="130">
        <v>0</v>
      </c>
    </row>
    <row r="152" spans="19:25" x14ac:dyDescent="0.2">
      <c r="S152" s="131"/>
      <c r="T152" s="127"/>
      <c r="U152" s="127">
        <f>+(T148-1)*10+5</f>
        <v>125</v>
      </c>
      <c r="V152" s="128" t="s">
        <v>234</v>
      </c>
      <c r="W152" s="129">
        <f>VLOOKUP(S148,$B$3:$M$63,6,FALSE)</f>
        <v>14.324731830811292</v>
      </c>
      <c r="X152" s="129"/>
      <c r="Y152" s="130">
        <v>0</v>
      </c>
    </row>
    <row r="153" spans="19:25" x14ac:dyDescent="0.2">
      <c r="S153" s="131"/>
      <c r="T153" s="127"/>
      <c r="U153" s="127">
        <f>+(T148-1)*10+6</f>
        <v>126</v>
      </c>
      <c r="V153" s="128" t="s">
        <v>235</v>
      </c>
      <c r="W153" s="129">
        <f>VLOOKUP(S148,$B$3:$M$63,7,FALSE)</f>
        <v>1.5101361070663244</v>
      </c>
      <c r="X153" s="129"/>
      <c r="Y153" s="130">
        <v>0</v>
      </c>
    </row>
    <row r="154" spans="19:25" x14ac:dyDescent="0.2">
      <c r="S154" s="131"/>
      <c r="T154" s="127"/>
      <c r="U154" s="127">
        <f>+(T148-1)*10+7</f>
        <v>127</v>
      </c>
      <c r="V154" s="128" t="s">
        <v>236</v>
      </c>
      <c r="W154" s="129">
        <f>VLOOKUP(S148,$B$3:$M$63,8,FALSE)</f>
        <v>24.628771164310908</v>
      </c>
      <c r="X154" s="129">
        <f>VLOOKUP(S148,$B$3:$M$63,11,FALSE)</f>
        <v>27.858950236862665</v>
      </c>
      <c r="Y154" s="130">
        <v>0</v>
      </c>
    </row>
    <row r="155" spans="19:25" x14ac:dyDescent="0.2">
      <c r="S155" s="131"/>
      <c r="T155" s="127"/>
      <c r="U155" s="127">
        <f>+(T148-1)*10+8</f>
        <v>128</v>
      </c>
      <c r="V155" s="128" t="s">
        <v>237</v>
      </c>
      <c r="W155" s="129"/>
      <c r="X155" s="129"/>
      <c r="Y155" s="130"/>
    </row>
    <row r="156" spans="19:25" x14ac:dyDescent="0.2">
      <c r="S156" s="131"/>
      <c r="T156" s="127"/>
      <c r="U156" s="127">
        <f>+(T148-1)*10+9</f>
        <v>129</v>
      </c>
      <c r="V156" s="128" t="s">
        <v>238</v>
      </c>
      <c r="W156" s="129">
        <f>VLOOKUP(S148,$B$3:$M$63,9,FALSE)</f>
        <v>71.525904912796591</v>
      </c>
      <c r="X156" s="129">
        <f>VLOOKUP(S148,$B$3:$M$63,12,FALSE)</f>
        <v>0</v>
      </c>
      <c r="Y156" s="130">
        <v>0</v>
      </c>
    </row>
    <row r="157" spans="19:25" x14ac:dyDescent="0.2">
      <c r="T157" s="132"/>
      <c r="U157" s="127">
        <f>+(T148-1)*10+10</f>
        <v>130</v>
      </c>
      <c r="V157" s="123" t="s">
        <v>324</v>
      </c>
      <c r="W157" s="133">
        <f>SUM(W148:W156)</f>
        <v>249.2731411229135</v>
      </c>
      <c r="X157" s="133">
        <f>SUM(X148:X156)</f>
        <v>311.63732928679821</v>
      </c>
      <c r="Y157" s="125">
        <v>0</v>
      </c>
    </row>
    <row r="158" spans="19:25" x14ac:dyDescent="0.2">
      <c r="T158" s="132"/>
      <c r="U158" s="132"/>
      <c r="V158" s="132"/>
      <c r="W158" s="132"/>
      <c r="X158" s="132"/>
      <c r="Y158" s="132"/>
    </row>
    <row r="159" spans="19:25" x14ac:dyDescent="0.2">
      <c r="S159" s="122"/>
      <c r="T159" s="122"/>
      <c r="U159" s="122"/>
      <c r="V159" s="123" t="s">
        <v>227</v>
      </c>
      <c r="W159" s="124" t="s">
        <v>228</v>
      </c>
      <c r="X159" s="124" t="s">
        <v>229</v>
      </c>
      <c r="Y159" s="125" t="s">
        <v>239</v>
      </c>
    </row>
    <row r="160" spans="19:25" ht="30" x14ac:dyDescent="0.2">
      <c r="S160" s="126" t="str">
        <f>VLOOKUP(T160,$A$3:$P$63,2,FALSE)</f>
        <v>Primary school</v>
      </c>
      <c r="T160" s="127">
        <f>+T148+1</f>
        <v>14</v>
      </c>
      <c r="U160" s="127">
        <f>+(T160-1)*10+1</f>
        <v>131</v>
      </c>
      <c r="V160" s="128" t="s">
        <v>230</v>
      </c>
      <c r="W160" s="129">
        <f>VLOOKUP(S160,$B$3:$M$63,2,FALSE)</f>
        <v>0.22615364894568479</v>
      </c>
      <c r="X160" s="129">
        <f>VLOOKUP(S160,$B$3:$M$63,10,FALSE)</f>
        <v>109.3356525113421</v>
      </c>
      <c r="Y160" s="130">
        <v>0</v>
      </c>
    </row>
    <row r="161" spans="19:25" x14ac:dyDescent="0.2">
      <c r="S161" s="131"/>
      <c r="T161" s="127"/>
      <c r="U161" s="127">
        <f>+(T160-1)*10+2</f>
        <v>132</v>
      </c>
      <c r="V161" s="128" t="s">
        <v>314</v>
      </c>
      <c r="W161" s="129">
        <f>VLOOKUP(S160,$B$3:$M$63,3,FALSE)</f>
        <v>0.22615364894568479</v>
      </c>
      <c r="X161" s="129"/>
      <c r="Y161" s="130">
        <v>0</v>
      </c>
    </row>
    <row r="162" spans="19:25" x14ac:dyDescent="0.2">
      <c r="S162" s="131"/>
      <c r="T162" s="127"/>
      <c r="U162" s="127">
        <f>+(T160-1)*10+3</f>
        <v>133</v>
      </c>
      <c r="V162" s="128" t="s">
        <v>232</v>
      </c>
      <c r="W162" s="129">
        <f>VLOOKUP(S160,$B$3:$M$63,4,FALSE)</f>
        <v>1.6153832067548914</v>
      </c>
      <c r="X162" s="129"/>
      <c r="Y162" s="130">
        <v>0</v>
      </c>
    </row>
    <row r="163" spans="19:25" x14ac:dyDescent="0.2">
      <c r="S163" s="131"/>
      <c r="T163" s="127"/>
      <c r="U163" s="127">
        <f>+(T160-1)*10+4</f>
        <v>134</v>
      </c>
      <c r="V163" s="128" t="s">
        <v>317</v>
      </c>
      <c r="W163" s="129">
        <f>VLOOKUP(S160,$B$3:$M$63,5,FALSE)</f>
        <v>0.64615328270195649</v>
      </c>
      <c r="X163" s="129"/>
      <c r="Y163" s="130">
        <v>0</v>
      </c>
    </row>
    <row r="164" spans="19:25" x14ac:dyDescent="0.2">
      <c r="S164" s="131"/>
      <c r="T164" s="127"/>
      <c r="U164" s="127">
        <f>+(T160-1)*10+5</f>
        <v>135</v>
      </c>
      <c r="V164" s="128" t="s">
        <v>234</v>
      </c>
      <c r="W164" s="129">
        <f>VLOOKUP(S160,$B$3:$M$63,6,FALSE)</f>
        <v>2.2615364894568475</v>
      </c>
      <c r="X164" s="129"/>
      <c r="Y164" s="130">
        <v>0</v>
      </c>
    </row>
    <row r="165" spans="19:25" x14ac:dyDescent="0.2">
      <c r="S165" s="131"/>
      <c r="T165" s="127"/>
      <c r="U165" s="127">
        <f>+(T160-1)*10+6</f>
        <v>136</v>
      </c>
      <c r="V165" s="128" t="s">
        <v>235</v>
      </c>
      <c r="W165" s="129">
        <f>VLOOKUP(S160,$B$3:$M$63,7,FALSE)</f>
        <v>11.307682447284238</v>
      </c>
      <c r="X165" s="129"/>
      <c r="Y165" s="130">
        <v>0</v>
      </c>
    </row>
    <row r="166" spans="19:25" x14ac:dyDescent="0.2">
      <c r="S166" s="131"/>
      <c r="T166" s="127"/>
      <c r="U166" s="127">
        <f>+(T160-1)*10+7</f>
        <v>137</v>
      </c>
      <c r="V166" s="128" t="s">
        <v>236</v>
      </c>
      <c r="W166" s="129">
        <f>VLOOKUP(S160,$B$3:$M$63,8,FALSE)</f>
        <v>27.138437873482175</v>
      </c>
      <c r="X166" s="129">
        <f>VLOOKUP(S160,$B$3:$M$63,11,FALSE)</f>
        <v>15.21191687114325</v>
      </c>
      <c r="Y166" s="130">
        <v>0</v>
      </c>
    </row>
    <row r="167" spans="19:25" x14ac:dyDescent="0.2">
      <c r="S167" s="131"/>
      <c r="T167" s="127"/>
      <c r="U167" s="127">
        <f>+(T160-1)*10+8</f>
        <v>138</v>
      </c>
      <c r="V167" s="128" t="s">
        <v>237</v>
      </c>
      <c r="W167" s="129"/>
      <c r="X167" s="129"/>
      <c r="Y167" s="130"/>
    </row>
    <row r="168" spans="19:25" x14ac:dyDescent="0.2">
      <c r="S168" s="131"/>
      <c r="T168" s="127"/>
      <c r="U168" s="127">
        <f>+(T160-1)*10+9</f>
        <v>139</v>
      </c>
      <c r="V168" s="128" t="s">
        <v>238</v>
      </c>
      <c r="W168" s="129">
        <f>VLOOKUP(S160,$B$3:$M$63,9,FALSE)</f>
        <v>4.4926553131305011</v>
      </c>
      <c r="X168" s="129">
        <f>VLOOKUP(S160,$B$3:$M$63,12,FALSE)</f>
        <v>4.7537240222322659</v>
      </c>
      <c r="Y168" s="130">
        <v>0</v>
      </c>
    </row>
    <row r="169" spans="19:25" x14ac:dyDescent="0.2">
      <c r="T169" s="132"/>
      <c r="U169" s="127">
        <f>+(T160-1)*10+10</f>
        <v>140</v>
      </c>
      <c r="V169" s="123" t="s">
        <v>324</v>
      </c>
      <c r="W169" s="133">
        <f>SUM(W160:W168)</f>
        <v>47.914155910701979</v>
      </c>
      <c r="X169" s="133">
        <f>SUM(X160:X168)</f>
        <v>129.30129340471763</v>
      </c>
      <c r="Y169" s="125">
        <v>0</v>
      </c>
    </row>
    <row r="170" spans="19:25" x14ac:dyDescent="0.2">
      <c r="T170" s="132"/>
      <c r="U170" s="132"/>
      <c r="V170" s="132"/>
      <c r="W170" s="132"/>
      <c r="X170" s="132"/>
      <c r="Y170" s="132"/>
    </row>
    <row r="171" spans="19:25" x14ac:dyDescent="0.2">
      <c r="S171" s="122"/>
      <c r="T171" s="122"/>
      <c r="U171" s="122"/>
      <c r="V171" s="123" t="s">
        <v>227</v>
      </c>
      <c r="W171" s="124" t="s">
        <v>228</v>
      </c>
      <c r="X171" s="124" t="s">
        <v>229</v>
      </c>
      <c r="Y171" s="125" t="s">
        <v>239</v>
      </c>
    </row>
    <row r="172" spans="19:25" ht="30" x14ac:dyDescent="0.2">
      <c r="S172" s="126" t="str">
        <f>VLOOKUP(T172,$A$3:$P$63,2,FALSE)</f>
        <v>Secondary school</v>
      </c>
      <c r="T172" s="127">
        <f>+T160+1</f>
        <v>15</v>
      </c>
      <c r="U172" s="127">
        <f>+(T172-1)*10+1</f>
        <v>141</v>
      </c>
      <c r="V172" s="128" t="s">
        <v>230</v>
      </c>
      <c r="W172" s="129">
        <f>VLOOKUP(S172,$B$3:$M$63,2,FALSE)</f>
        <v>2.5131771102109255</v>
      </c>
      <c r="X172" s="129">
        <f>VLOOKUP(S172,$B$3:$M$63,10,FALSE)</f>
        <v>101.83907179663601</v>
      </c>
      <c r="Y172" s="130">
        <v>0</v>
      </c>
    </row>
    <row r="173" spans="19:25" x14ac:dyDescent="0.2">
      <c r="S173" s="131"/>
      <c r="T173" s="127"/>
      <c r="U173" s="127">
        <f>+(T172-1)*10+2</f>
        <v>142</v>
      </c>
      <c r="V173" s="128" t="s">
        <v>314</v>
      </c>
      <c r="W173" s="129">
        <f>VLOOKUP(S172,$B$3:$M$63,3,FALSE)</f>
        <v>7.7719089121100329E-2</v>
      </c>
      <c r="X173" s="129"/>
      <c r="Y173" s="130">
        <v>0</v>
      </c>
    </row>
    <row r="174" spans="19:25" x14ac:dyDescent="0.2">
      <c r="S174" s="131"/>
      <c r="T174" s="127"/>
      <c r="U174" s="127">
        <f>+(T172-1)*10+3</f>
        <v>143</v>
      </c>
      <c r="V174" s="128" t="s">
        <v>232</v>
      </c>
      <c r="W174" s="129">
        <f>VLOOKUP(S172,$B$3:$M$63,4,FALSE)</f>
        <v>2.7759602135700279</v>
      </c>
      <c r="X174" s="129"/>
      <c r="Y174" s="130">
        <v>0</v>
      </c>
    </row>
    <row r="175" spans="19:25" x14ac:dyDescent="0.2">
      <c r="S175" s="131"/>
      <c r="T175" s="127"/>
      <c r="U175" s="127">
        <f>+(T172-1)*10+4</f>
        <v>144</v>
      </c>
      <c r="V175" s="128" t="s">
        <v>317</v>
      </c>
      <c r="W175" s="129">
        <f>VLOOKUP(S172,$B$3:$M$63,5,FALSE)</f>
        <v>1.1103840854280111</v>
      </c>
      <c r="X175" s="129"/>
      <c r="Y175" s="130">
        <v>0</v>
      </c>
    </row>
    <row r="176" spans="19:25" x14ac:dyDescent="0.2">
      <c r="S176" s="131"/>
      <c r="T176" s="127"/>
      <c r="U176" s="127">
        <f>+(T172-1)*10+5</f>
        <v>145</v>
      </c>
      <c r="V176" s="128" t="s">
        <v>234</v>
      </c>
      <c r="W176" s="129">
        <f>VLOOKUP(S172,$B$3:$M$63,6,FALSE)</f>
        <v>7.7726885979960789</v>
      </c>
      <c r="X176" s="129"/>
      <c r="Y176" s="130">
        <v>0</v>
      </c>
    </row>
    <row r="177" spans="19:25" x14ac:dyDescent="0.2">
      <c r="S177" s="131"/>
      <c r="T177" s="127"/>
      <c r="U177" s="127">
        <f>+(T172-1)*10+6</f>
        <v>146</v>
      </c>
      <c r="V177" s="128" t="s">
        <v>235</v>
      </c>
      <c r="W177" s="129">
        <f>VLOOKUP(S172,$B$3:$M$63,7,FALSE)</f>
        <v>3.8863442989980395</v>
      </c>
      <c r="X177" s="129"/>
      <c r="Y177" s="130">
        <v>0</v>
      </c>
    </row>
    <row r="178" spans="19:25" x14ac:dyDescent="0.2">
      <c r="S178" s="131"/>
      <c r="T178" s="127"/>
      <c r="U178" s="127">
        <f>+(T172-1)*10+7</f>
        <v>147</v>
      </c>
      <c r="V178" s="128" t="s">
        <v>236</v>
      </c>
      <c r="W178" s="129">
        <f>VLOOKUP(S172,$B$3:$M$63,8,FALSE)</f>
        <v>27.204410092986276</v>
      </c>
      <c r="X178" s="129">
        <f>VLOOKUP(S172,$B$3:$M$63,11,FALSE)</f>
        <v>18.308147738721079</v>
      </c>
      <c r="Y178" s="130">
        <v>0</v>
      </c>
    </row>
    <row r="179" spans="19:25" x14ac:dyDescent="0.2">
      <c r="S179" s="131"/>
      <c r="T179" s="127"/>
      <c r="U179" s="127">
        <f>+(T172-1)*10+8</f>
        <v>148</v>
      </c>
      <c r="V179" s="128" t="s">
        <v>237</v>
      </c>
      <c r="W179" s="129"/>
      <c r="X179" s="129"/>
      <c r="Y179" s="130"/>
    </row>
    <row r="180" spans="19:25" x14ac:dyDescent="0.2">
      <c r="S180" s="131"/>
      <c r="T180" s="127"/>
      <c r="U180" s="127">
        <f>+(T172-1)*10+9</f>
        <v>149</v>
      </c>
      <c r="V180" s="128" t="s">
        <v>238</v>
      </c>
      <c r="W180" s="129">
        <f>VLOOKUP(S172,$B$3:$M$63,9,FALSE)</f>
        <v>2.5734724223915184</v>
      </c>
      <c r="X180" s="129">
        <f>VLOOKUP(S172,$B$3:$M$63,12,FALSE)</f>
        <v>9.1540738693605395</v>
      </c>
      <c r="Y180" s="130">
        <v>0</v>
      </c>
    </row>
    <row r="181" spans="19:25" x14ac:dyDescent="0.2">
      <c r="T181" s="132"/>
      <c r="U181" s="127">
        <f>+(T172-1)*10+10</f>
        <v>150</v>
      </c>
      <c r="V181" s="123" t="s">
        <v>324</v>
      </c>
      <c r="W181" s="133">
        <f>SUM(W172:W180)</f>
        <v>47.914155910701979</v>
      </c>
      <c r="X181" s="133">
        <f>SUM(X172:X180)</f>
        <v>129.30129340471763</v>
      </c>
      <c r="Y181" s="125">
        <v>0</v>
      </c>
    </row>
    <row r="182" spans="19:25" x14ac:dyDescent="0.2">
      <c r="T182" s="132"/>
      <c r="U182" s="132"/>
      <c r="V182" s="132"/>
      <c r="W182" s="132"/>
      <c r="X182" s="132"/>
      <c r="Y182" s="132"/>
    </row>
    <row r="183" spans="19:25" x14ac:dyDescent="0.2">
      <c r="S183" s="122"/>
      <c r="T183" s="122"/>
      <c r="U183" s="122"/>
      <c r="V183" s="123" t="s">
        <v>227</v>
      </c>
      <c r="W183" s="124" t="s">
        <v>228</v>
      </c>
      <c r="X183" s="124" t="s">
        <v>229</v>
      </c>
      <c r="Y183" s="125" t="s">
        <v>239</v>
      </c>
    </row>
    <row r="184" spans="19:25" ht="75" x14ac:dyDescent="0.2">
      <c r="S184" s="126" t="str">
        <f>VLOOKUP(T184,$A$3:$P$63,2,FALSE)</f>
        <v>Residential college or school (halls of residence)</v>
      </c>
      <c r="T184" s="127">
        <f>+T172+1</f>
        <v>16</v>
      </c>
      <c r="U184" s="127">
        <f>+(T184-1)*10+1</f>
        <v>151</v>
      </c>
      <c r="V184" s="128" t="s">
        <v>230</v>
      </c>
      <c r="W184" s="129">
        <f>VLOOKUP(S184,$B$3:$M$63,2,FALSE)</f>
        <v>13.608882716589996</v>
      </c>
      <c r="X184" s="129">
        <f>VLOOKUP(S184,$B$3:$M$63,10,FALSE)</f>
        <v>204.86330214859197</v>
      </c>
      <c r="Y184" s="130">
        <v>0</v>
      </c>
    </row>
    <row r="185" spans="19:25" x14ac:dyDescent="0.2">
      <c r="S185" s="131"/>
      <c r="T185" s="127"/>
      <c r="U185" s="127">
        <f>+(T184-1)*10+2</f>
        <v>152</v>
      </c>
      <c r="V185" s="128" t="s">
        <v>314</v>
      </c>
      <c r="W185" s="129">
        <f>VLOOKUP(S184,$B$3:$M$63,3,FALSE)</f>
        <v>1.7056259908354172</v>
      </c>
      <c r="X185" s="129"/>
      <c r="Y185" s="130">
        <v>0</v>
      </c>
    </row>
    <row r="186" spans="19:25" x14ac:dyDescent="0.2">
      <c r="S186" s="131"/>
      <c r="T186" s="127"/>
      <c r="U186" s="127">
        <f>+(T184-1)*10+3</f>
        <v>153</v>
      </c>
      <c r="V186" s="128" t="s">
        <v>232</v>
      </c>
      <c r="W186" s="129">
        <f>VLOOKUP(S184,$B$3:$M$63,4,FALSE)</f>
        <v>0.21877869582036308</v>
      </c>
      <c r="X186" s="129"/>
      <c r="Y186" s="130">
        <v>0</v>
      </c>
    </row>
    <row r="187" spans="19:25" x14ac:dyDescent="0.2">
      <c r="S187" s="131"/>
      <c r="T187" s="127"/>
      <c r="U187" s="127">
        <f>+(T184-1)*10+4</f>
        <v>154</v>
      </c>
      <c r="V187" s="128" t="s">
        <v>317</v>
      </c>
      <c r="W187" s="129">
        <f>VLOOKUP(S184,$B$3:$M$63,5,FALSE)</f>
        <v>0.21877869582036308</v>
      </c>
      <c r="X187" s="129"/>
      <c r="Y187" s="130">
        <v>0</v>
      </c>
    </row>
    <row r="188" spans="19:25" x14ac:dyDescent="0.2">
      <c r="S188" s="131"/>
      <c r="T188" s="127"/>
      <c r="U188" s="127">
        <f>+(T184-1)*10+5</f>
        <v>155</v>
      </c>
      <c r="V188" s="128" t="s">
        <v>234</v>
      </c>
      <c r="W188" s="129">
        <f>VLOOKUP(S184,$B$3:$M$63,6,FALSE)</f>
        <v>2.1877869582036307</v>
      </c>
      <c r="X188" s="129"/>
      <c r="Y188" s="130">
        <v>0</v>
      </c>
    </row>
    <row r="189" spans="19:25" x14ac:dyDescent="0.2">
      <c r="S189" s="131"/>
      <c r="T189" s="127"/>
      <c r="U189" s="127">
        <f>+(T184-1)*10+6</f>
        <v>156</v>
      </c>
      <c r="V189" s="128" t="s">
        <v>235</v>
      </c>
      <c r="W189" s="129">
        <f>VLOOKUP(S184,$B$3:$M$63,7,FALSE)</f>
        <v>0</v>
      </c>
      <c r="X189" s="129"/>
      <c r="Y189" s="130">
        <v>0</v>
      </c>
    </row>
    <row r="190" spans="19:25" x14ac:dyDescent="0.2">
      <c r="S190" s="131"/>
      <c r="T190" s="127"/>
      <c r="U190" s="127">
        <f>+(T184-1)*10+7</f>
        <v>157</v>
      </c>
      <c r="V190" s="128" t="s">
        <v>236</v>
      </c>
      <c r="W190" s="129">
        <f>VLOOKUP(S184,$B$3:$M$63,8,FALSE)</f>
        <v>24.065656540239935</v>
      </c>
      <c r="X190" s="129">
        <f>VLOOKUP(S184,$B$3:$M$63,11,FALSE)</f>
        <v>74.291087592346528</v>
      </c>
      <c r="Y190" s="130">
        <v>0</v>
      </c>
    </row>
    <row r="191" spans="19:25" x14ac:dyDescent="0.2">
      <c r="S191" s="131"/>
      <c r="T191" s="127"/>
      <c r="U191" s="127">
        <f>+(T184-1)*10+8</f>
        <v>158</v>
      </c>
      <c r="V191" s="128" t="s">
        <v>237</v>
      </c>
      <c r="W191" s="129"/>
      <c r="X191" s="129"/>
      <c r="Y191" s="130"/>
    </row>
    <row r="192" spans="19:25" x14ac:dyDescent="0.2">
      <c r="S192" s="131"/>
      <c r="T192" s="127"/>
      <c r="U192" s="127">
        <f>+(T184-1)*10+9</f>
        <v>159</v>
      </c>
      <c r="V192" s="128" t="s">
        <v>238</v>
      </c>
      <c r="W192" s="129">
        <f>VLOOKUP(S184,$B$3:$M$63,9,FALSE)</f>
        <v>44.996870705461532</v>
      </c>
      <c r="X192" s="129">
        <f>VLOOKUP(S184,$B$3:$M$63,12,FALSE)</f>
        <v>18.009960628447644</v>
      </c>
      <c r="Y192" s="130">
        <v>0</v>
      </c>
    </row>
    <row r="193" spans="19:25" x14ac:dyDescent="0.2">
      <c r="T193" s="132"/>
      <c r="U193" s="127">
        <f>+(T184-1)*10+10</f>
        <v>160</v>
      </c>
      <c r="V193" s="123" t="s">
        <v>324</v>
      </c>
      <c r="W193" s="133">
        <f>SUM(W184:W192)</f>
        <v>87.002380302971233</v>
      </c>
      <c r="X193" s="133">
        <f>SUM(X184:X192)</f>
        <v>297.16435036938611</v>
      </c>
      <c r="Y193" s="125">
        <v>0</v>
      </c>
    </row>
    <row r="194" spans="19:25" x14ac:dyDescent="0.2">
      <c r="T194" s="132"/>
      <c r="U194" s="132"/>
      <c r="V194" s="132"/>
      <c r="W194" s="132"/>
      <c r="X194" s="132"/>
      <c r="Y194" s="132"/>
    </row>
    <row r="195" spans="19:25" x14ac:dyDescent="0.2">
      <c r="S195" s="122"/>
      <c r="T195" s="122"/>
      <c r="U195" s="122"/>
      <c r="V195" s="123" t="s">
        <v>227</v>
      </c>
      <c r="W195" s="124" t="s">
        <v>228</v>
      </c>
      <c r="X195" s="124" t="s">
        <v>229</v>
      </c>
      <c r="Y195" s="125" t="s">
        <v>239</v>
      </c>
    </row>
    <row r="196" spans="19:25" ht="60" x14ac:dyDescent="0.2">
      <c r="S196" s="126" t="str">
        <f>VLOOKUP(T196,$A$3:$P$63,2,FALSE)</f>
        <v>Education asset common areas*</v>
      </c>
      <c r="T196" s="127">
        <f>+T184+1</f>
        <v>17</v>
      </c>
      <c r="U196" s="127">
        <f>+(T196-1)*10+1</f>
        <v>161</v>
      </c>
      <c r="V196" s="128" t="s">
        <v>230</v>
      </c>
      <c r="W196" s="129">
        <f>VLOOKUP(S196,$B$3:$M$63,2,FALSE)</f>
        <v>22.34911479818129</v>
      </c>
      <c r="X196" s="129">
        <f>VLOOKUP(S196,$B$3:$M$63,10,FALSE)</f>
        <v>45.142664810060808</v>
      </c>
      <c r="Y196" s="130">
        <v>0</v>
      </c>
    </row>
    <row r="197" spans="19:25" x14ac:dyDescent="0.2">
      <c r="S197" s="131"/>
      <c r="T197" s="127"/>
      <c r="U197" s="127">
        <f>+(T196-1)*10+2</f>
        <v>162</v>
      </c>
      <c r="V197" s="128" t="s">
        <v>314</v>
      </c>
      <c r="W197" s="129">
        <f>VLOOKUP(S196,$B$3:$M$63,3,FALSE)</f>
        <v>14.548269507323461</v>
      </c>
      <c r="X197" s="129"/>
      <c r="Y197" s="130">
        <v>0</v>
      </c>
    </row>
    <row r="198" spans="19:25" x14ac:dyDescent="0.2">
      <c r="S198" s="131"/>
      <c r="T198" s="127"/>
      <c r="U198" s="127">
        <f>+(T196-1)*10+3</f>
        <v>163</v>
      </c>
      <c r="V198" s="128" t="s">
        <v>232</v>
      </c>
      <c r="W198" s="129">
        <f>VLOOKUP(S196,$B$3:$M$63,4,FALSE)</f>
        <v>14.83080840971297</v>
      </c>
      <c r="X198" s="129"/>
      <c r="Y198" s="130">
        <v>0</v>
      </c>
    </row>
    <row r="199" spans="19:25" x14ac:dyDescent="0.2">
      <c r="S199" s="131"/>
      <c r="T199" s="127"/>
      <c r="U199" s="127">
        <f>+(T196-1)*10+4</f>
        <v>164</v>
      </c>
      <c r="V199" s="128" t="s">
        <v>317</v>
      </c>
      <c r="W199" s="129">
        <f>VLOOKUP(S196,$B$3:$M$63,5,FALSE)</f>
        <v>15.693391333931865</v>
      </c>
      <c r="X199" s="129"/>
      <c r="Y199" s="130">
        <v>0</v>
      </c>
    </row>
    <row r="200" spans="19:25" x14ac:dyDescent="0.2">
      <c r="S200" s="131"/>
      <c r="T200" s="127"/>
      <c r="U200" s="127">
        <f>+(T196-1)*10+5</f>
        <v>165</v>
      </c>
      <c r="V200" s="128" t="s">
        <v>234</v>
      </c>
      <c r="W200" s="129">
        <f>VLOOKUP(S196,$B$3:$M$63,6,FALSE)</f>
        <v>21.802999816889173</v>
      </c>
      <c r="X200" s="129"/>
      <c r="Y200" s="130">
        <v>0</v>
      </c>
    </row>
    <row r="201" spans="19:25" x14ac:dyDescent="0.2">
      <c r="S201" s="131"/>
      <c r="T201" s="127"/>
      <c r="U201" s="127">
        <f>+(T196-1)*10+6</f>
        <v>166</v>
      </c>
      <c r="V201" s="128" t="s">
        <v>235</v>
      </c>
      <c r="W201" s="129">
        <f>VLOOKUP(S196,$B$3:$M$63,7,FALSE)</f>
        <v>8.3857691603419902</v>
      </c>
      <c r="X201" s="129"/>
      <c r="Y201" s="130">
        <v>0</v>
      </c>
    </row>
    <row r="202" spans="19:25" x14ac:dyDescent="0.2">
      <c r="S202" s="131"/>
      <c r="T202" s="127"/>
      <c r="U202" s="127">
        <f>+(T196-1)*10+7</f>
        <v>167</v>
      </c>
      <c r="V202" s="128" t="s">
        <v>236</v>
      </c>
      <c r="W202" s="129">
        <f>VLOOKUP(S196,$B$3:$M$63,8,FALSE)</f>
        <v>55.34607645825713</v>
      </c>
      <c r="X202" s="129">
        <f>VLOOKUP(S196,$B$3:$M$63,11,FALSE)</f>
        <v>11.139099108976044</v>
      </c>
      <c r="Y202" s="130">
        <v>0</v>
      </c>
    </row>
    <row r="203" spans="19:25" x14ac:dyDescent="0.2">
      <c r="S203" s="131"/>
      <c r="T203" s="127"/>
      <c r="U203" s="127">
        <f>+(T196-1)*10+8</f>
        <v>168</v>
      </c>
      <c r="V203" s="128" t="s">
        <v>237</v>
      </c>
      <c r="W203" s="129"/>
      <c r="X203" s="129"/>
      <c r="Y203" s="130"/>
    </row>
    <row r="204" spans="19:25" x14ac:dyDescent="0.2">
      <c r="S204" s="131"/>
      <c r="T204" s="127"/>
      <c r="U204" s="127">
        <f>+(T196-1)*10+9</f>
        <v>169</v>
      </c>
      <c r="V204" s="128" t="s">
        <v>238</v>
      </c>
      <c r="W204" s="129">
        <f>VLOOKUP(S196,$B$3:$M$63,9,FALSE)</f>
        <v>34.494526010300362</v>
      </c>
      <c r="X204" s="129">
        <f>VLOOKUP(S196,$B$3:$M$63,12,FALSE)</f>
        <v>2.9313418707831693</v>
      </c>
      <c r="Y204" s="130">
        <v>0</v>
      </c>
    </row>
    <row r="205" spans="19:25" x14ac:dyDescent="0.2">
      <c r="T205" s="132"/>
      <c r="U205" s="127">
        <f>+(T196-1)*10+10</f>
        <v>170</v>
      </c>
      <c r="V205" s="123" t="s">
        <v>324</v>
      </c>
      <c r="W205" s="133">
        <f>SUM(W196:W204)</f>
        <v>187.45095549493823</v>
      </c>
      <c r="X205" s="133">
        <f>SUM(X196:X204)</f>
        <v>59.21310578982002</v>
      </c>
      <c r="Y205" s="125">
        <v>0</v>
      </c>
    </row>
    <row r="206" spans="19:25" x14ac:dyDescent="0.2">
      <c r="T206" s="132"/>
      <c r="U206" s="132"/>
      <c r="V206" s="132"/>
      <c r="W206" s="132"/>
      <c r="X206" s="132"/>
      <c r="Y206" s="132"/>
    </row>
    <row r="207" spans="19:25" x14ac:dyDescent="0.2">
      <c r="S207" s="122"/>
      <c r="T207" s="122"/>
      <c r="U207" s="122"/>
      <c r="V207" s="123" t="s">
        <v>227</v>
      </c>
      <c r="W207" s="124" t="s">
        <v>228</v>
      </c>
      <c r="X207" s="124" t="s">
        <v>229</v>
      </c>
      <c r="Y207" s="125" t="s">
        <v>239</v>
      </c>
    </row>
    <row r="208" spans="19:25" x14ac:dyDescent="0.2">
      <c r="S208" s="126" t="str">
        <f>VLOOKUP(T208,$A$3:$P$63,2,FALSE)</f>
        <v>Cinema</v>
      </c>
      <c r="T208" s="127">
        <f>+T196+1</f>
        <v>18</v>
      </c>
      <c r="U208" s="127">
        <f>+(T208-1)*10+1</f>
        <v>171</v>
      </c>
      <c r="V208" s="128" t="s">
        <v>230</v>
      </c>
      <c r="W208" s="129">
        <f>VLOOKUP(S208,$B$3:$M$63,2,FALSE)</f>
        <v>14.963323418470729</v>
      </c>
      <c r="X208" s="129">
        <f>VLOOKUP(S208,$B$3:$M$63,10,FALSE)</f>
        <v>227.06004524595664</v>
      </c>
      <c r="Y208" s="130">
        <v>0</v>
      </c>
    </row>
    <row r="209" spans="19:25" x14ac:dyDescent="0.2">
      <c r="S209" s="131"/>
      <c r="T209" s="127"/>
      <c r="U209" s="127">
        <f>+(T208-1)*10+2</f>
        <v>172</v>
      </c>
      <c r="V209" s="128" t="s">
        <v>314</v>
      </c>
      <c r="W209" s="129">
        <f>VLOOKUP(S208,$B$3:$M$63,3,FALSE)</f>
        <v>10.075383440819229</v>
      </c>
      <c r="X209" s="129"/>
      <c r="Y209" s="130">
        <v>0</v>
      </c>
    </row>
    <row r="210" spans="19:25" x14ac:dyDescent="0.2">
      <c r="S210" s="131"/>
      <c r="T210" s="127"/>
      <c r="U210" s="127">
        <f>+(T208-1)*10+3</f>
        <v>173</v>
      </c>
      <c r="V210" s="128" t="s">
        <v>232</v>
      </c>
      <c r="W210" s="129">
        <f>VLOOKUP(S208,$B$3:$M$63,4,FALSE)</f>
        <v>25.27386312767598</v>
      </c>
      <c r="X210" s="129"/>
      <c r="Y210" s="130">
        <v>0</v>
      </c>
    </row>
    <row r="211" spans="19:25" x14ac:dyDescent="0.2">
      <c r="S211" s="131"/>
      <c r="T211" s="127"/>
      <c r="U211" s="127">
        <f>+(T208-1)*10+4</f>
        <v>174</v>
      </c>
      <c r="V211" s="128" t="s">
        <v>317</v>
      </c>
      <c r="W211" s="129">
        <f>VLOOKUP(S208,$B$3:$M$63,5,FALSE)</f>
        <v>10.075383440819229</v>
      </c>
      <c r="X211" s="129"/>
      <c r="Y211" s="130">
        <v>0</v>
      </c>
    </row>
    <row r="212" spans="19:25" x14ac:dyDescent="0.2">
      <c r="S212" s="131"/>
      <c r="T212" s="127"/>
      <c r="U212" s="127">
        <f>+(T208-1)*10+5</f>
        <v>175</v>
      </c>
      <c r="V212" s="128" t="s">
        <v>234</v>
      </c>
      <c r="W212" s="129">
        <f>VLOOKUP(S208,$B$3:$M$63,6,FALSE)</f>
        <v>20.150668940668702</v>
      </c>
      <c r="X212" s="129"/>
      <c r="Y212" s="130">
        <v>0</v>
      </c>
    </row>
    <row r="213" spans="19:25" x14ac:dyDescent="0.2">
      <c r="S213" s="131"/>
      <c r="T213" s="127"/>
      <c r="U213" s="127">
        <f>+(T208-1)*10+6</f>
        <v>176</v>
      </c>
      <c r="V213" s="128" t="s">
        <v>235</v>
      </c>
      <c r="W213" s="129">
        <f>VLOOKUP(S208,$B$3:$M$63,7,FALSE)</f>
        <v>12.719985506191737</v>
      </c>
      <c r="X213" s="129"/>
      <c r="Y213" s="130">
        <v>0</v>
      </c>
    </row>
    <row r="214" spans="19:25" x14ac:dyDescent="0.2">
      <c r="S214" s="131"/>
      <c r="T214" s="127"/>
      <c r="U214" s="127">
        <f>+(T208-1)*10+7</f>
        <v>177</v>
      </c>
      <c r="V214" s="128" t="s">
        <v>236</v>
      </c>
      <c r="W214" s="129">
        <f>VLOOKUP(S208,$B$3:$M$63,8,FALSE)</f>
        <v>52.662761497249569</v>
      </c>
      <c r="X214" s="129">
        <f>VLOOKUP(S208,$B$3:$M$63,11,FALSE)</f>
        <v>0</v>
      </c>
      <c r="Y214" s="130">
        <v>0</v>
      </c>
    </row>
    <row r="215" spans="19:25" x14ac:dyDescent="0.2">
      <c r="S215" s="131"/>
      <c r="T215" s="127"/>
      <c r="U215" s="127">
        <f>+(T208-1)*10+8</f>
        <v>178</v>
      </c>
      <c r="V215" s="128" t="s">
        <v>237</v>
      </c>
      <c r="W215" s="129"/>
      <c r="X215" s="129"/>
      <c r="Y215" s="130"/>
    </row>
    <row r="216" spans="19:25" x14ac:dyDescent="0.2">
      <c r="S216" s="131"/>
      <c r="T216" s="127"/>
      <c r="U216" s="127">
        <f>+(T208-1)*10+9</f>
        <v>179</v>
      </c>
      <c r="V216" s="128" t="s">
        <v>238</v>
      </c>
      <c r="W216" s="129">
        <f>VLOOKUP(S208,$B$3:$M$63,9,FALSE)</f>
        <v>49.499855819924193</v>
      </c>
      <c r="X216" s="129">
        <f>VLOOKUP(S208,$B$3:$M$63,12,FALSE)</f>
        <v>21.180401765874997</v>
      </c>
      <c r="Y216" s="130">
        <v>0</v>
      </c>
    </row>
    <row r="217" spans="19:25" x14ac:dyDescent="0.2">
      <c r="T217" s="132"/>
      <c r="U217" s="127">
        <f>+(T208-1)*10+10</f>
        <v>180</v>
      </c>
      <c r="V217" s="123" t="s">
        <v>324</v>
      </c>
      <c r="W217" s="133">
        <f>SUM(W208:W216)</f>
        <v>195.42122519181936</v>
      </c>
      <c r="X217" s="133">
        <f>SUM(X208:X216)</f>
        <v>248.24044701183163</v>
      </c>
      <c r="Y217" s="125">
        <v>0</v>
      </c>
    </row>
    <row r="218" spans="19:25" x14ac:dyDescent="0.2">
      <c r="T218" s="132"/>
      <c r="U218" s="132"/>
      <c r="V218" s="132"/>
      <c r="W218" s="132"/>
      <c r="X218" s="132"/>
      <c r="Y218" s="132"/>
    </row>
    <row r="219" spans="19:25" x14ac:dyDescent="0.2">
      <c r="S219" s="122"/>
      <c r="T219" s="122"/>
      <c r="U219" s="122"/>
      <c r="V219" s="123" t="s">
        <v>227</v>
      </c>
      <c r="W219" s="124" t="s">
        <v>228</v>
      </c>
      <c r="X219" s="124" t="s">
        <v>229</v>
      </c>
      <c r="Y219" s="125" t="s">
        <v>239</v>
      </c>
    </row>
    <row r="220" spans="19:25" ht="45" x14ac:dyDescent="0.2">
      <c r="S220" s="126" t="str">
        <f>VLOOKUP(T220,$A$3:$P$63,2,FALSE)</f>
        <v>Fast food restaurant or café</v>
      </c>
      <c r="T220" s="127">
        <f>+T208+1</f>
        <v>19</v>
      </c>
      <c r="U220" s="127">
        <f>+(T220-1)*10+1</f>
        <v>181</v>
      </c>
      <c r="V220" s="128" t="s">
        <v>230</v>
      </c>
      <c r="W220" s="129">
        <f>VLOOKUP(S220,$B$3:$M$63,2,FALSE)</f>
        <v>8.0548615031623481</v>
      </c>
      <c r="X220" s="129">
        <f>VLOOKUP(S220,$B$3:$M$63,10,FALSE)</f>
        <v>21.270630309112239</v>
      </c>
      <c r="Y220" s="130">
        <v>0</v>
      </c>
    </row>
    <row r="221" spans="19:25" x14ac:dyDescent="0.2">
      <c r="S221" s="131"/>
      <c r="T221" s="127"/>
      <c r="U221" s="127">
        <f>+(T220-1)*10+2</f>
        <v>182</v>
      </c>
      <c r="V221" s="128" t="s">
        <v>314</v>
      </c>
      <c r="W221" s="129">
        <f>VLOOKUP(S220,$B$3:$M$63,3,FALSE)</f>
        <v>4.0274307515811743E-2</v>
      </c>
      <c r="X221" s="129"/>
      <c r="Y221" s="130">
        <v>0</v>
      </c>
    </row>
    <row r="222" spans="19:25" x14ac:dyDescent="0.2">
      <c r="S222" s="131"/>
      <c r="T222" s="127"/>
      <c r="U222" s="127">
        <f>+(T220-1)*10+3</f>
        <v>183</v>
      </c>
      <c r="V222" s="128" t="s">
        <v>232</v>
      </c>
      <c r="W222" s="129">
        <f>VLOOKUP(S220,$B$3:$M$63,4,FALSE)</f>
        <v>8.0548615031623481</v>
      </c>
      <c r="X222" s="129"/>
      <c r="Y222" s="130">
        <v>0</v>
      </c>
    </row>
    <row r="223" spans="19:25" x14ac:dyDescent="0.2">
      <c r="S223" s="131"/>
      <c r="T223" s="127"/>
      <c r="U223" s="127">
        <f>+(T220-1)*10+4</f>
        <v>184</v>
      </c>
      <c r="V223" s="128" t="s">
        <v>317</v>
      </c>
      <c r="W223" s="129">
        <f>VLOOKUP(S220,$B$3:$M$63,5,FALSE)</f>
        <v>4.0274307515811743E-2</v>
      </c>
      <c r="X223" s="129"/>
      <c r="Y223" s="130">
        <v>0</v>
      </c>
    </row>
    <row r="224" spans="19:25" x14ac:dyDescent="0.2">
      <c r="S224" s="131"/>
      <c r="T224" s="127"/>
      <c r="U224" s="127">
        <f>+(T220-1)*10+5</f>
        <v>185</v>
      </c>
      <c r="V224" s="128" t="s">
        <v>234</v>
      </c>
      <c r="W224" s="129">
        <f>VLOOKUP(S220,$B$3:$M$63,6,FALSE)</f>
        <v>12.082292254743521</v>
      </c>
      <c r="X224" s="129"/>
      <c r="Y224" s="130">
        <v>0</v>
      </c>
    </row>
    <row r="225" spans="19:25" x14ac:dyDescent="0.2">
      <c r="S225" s="131"/>
      <c r="T225" s="127"/>
      <c r="U225" s="127">
        <f>+(T220-1)*10+6</f>
        <v>186</v>
      </c>
      <c r="V225" s="128" t="s">
        <v>235</v>
      </c>
      <c r="W225" s="129">
        <f>VLOOKUP(S220,$B$3:$M$63,7,FALSE)</f>
        <v>4.027430751581174</v>
      </c>
      <c r="X225" s="129"/>
      <c r="Y225" s="130">
        <v>0</v>
      </c>
    </row>
    <row r="226" spans="19:25" x14ac:dyDescent="0.2">
      <c r="S226" s="131"/>
      <c r="T226" s="127"/>
      <c r="U226" s="127">
        <f>+(T220-1)*10+7</f>
        <v>187</v>
      </c>
      <c r="V226" s="128" t="s">
        <v>236</v>
      </c>
      <c r="W226" s="129">
        <f>VLOOKUP(S220,$B$3:$M$63,8,FALSE)</f>
        <v>12.082292254743521</v>
      </c>
      <c r="X226" s="129">
        <f>VLOOKUP(S220,$B$3:$M$63,11,FALSE)</f>
        <v>21.270630309112239</v>
      </c>
      <c r="Y226" s="130">
        <v>0</v>
      </c>
    </row>
    <row r="227" spans="19:25" x14ac:dyDescent="0.2">
      <c r="S227" s="131"/>
      <c r="T227" s="127"/>
      <c r="U227" s="127">
        <f>+(T220-1)*10+8</f>
        <v>188</v>
      </c>
      <c r="V227" s="128" t="s">
        <v>237</v>
      </c>
      <c r="W227" s="129"/>
      <c r="X227" s="129"/>
      <c r="Y227" s="130"/>
    </row>
    <row r="228" spans="19:25" x14ac:dyDescent="0.2">
      <c r="S228" s="131"/>
      <c r="T228" s="127"/>
      <c r="U228" s="127">
        <f>+(T220-1)*10+9</f>
        <v>189</v>
      </c>
      <c r="V228" s="128" t="s">
        <v>238</v>
      </c>
      <c r="W228" s="129">
        <f>VLOOKUP(S220,$B$3:$M$63,9,FALSE)</f>
        <v>221.50869133696457</v>
      </c>
      <c r="X228" s="129">
        <f>VLOOKUP(S220,$B$3:$M$63,12,FALSE)</f>
        <v>241.06714350327204</v>
      </c>
      <c r="Y228" s="130">
        <v>0</v>
      </c>
    </row>
    <row r="229" spans="19:25" x14ac:dyDescent="0.2">
      <c r="T229" s="132"/>
      <c r="U229" s="127">
        <f>+(T220-1)*10+10</f>
        <v>190</v>
      </c>
      <c r="V229" s="123" t="s">
        <v>324</v>
      </c>
      <c r="W229" s="133">
        <f>SUM(W220:W228)</f>
        <v>265.89097821938913</v>
      </c>
      <c r="X229" s="133">
        <f>SUM(X220:X228)</f>
        <v>283.60840412149651</v>
      </c>
      <c r="Y229" s="125">
        <v>0</v>
      </c>
    </row>
    <row r="230" spans="19:25" x14ac:dyDescent="0.2">
      <c r="T230" s="132"/>
      <c r="U230" s="132"/>
      <c r="V230" s="132"/>
      <c r="W230" s="132"/>
      <c r="X230" s="132"/>
      <c r="Y230" s="132"/>
    </row>
    <row r="231" spans="19:25" x14ac:dyDescent="0.2">
      <c r="S231" s="122"/>
      <c r="T231" s="122"/>
      <c r="U231" s="122"/>
      <c r="V231" s="123" t="s">
        <v>227</v>
      </c>
      <c r="W231" s="124" t="s">
        <v>228</v>
      </c>
      <c r="X231" s="124" t="s">
        <v>229</v>
      </c>
      <c r="Y231" s="125" t="s">
        <v>239</v>
      </c>
    </row>
    <row r="232" spans="19:25" ht="30" x14ac:dyDescent="0.2">
      <c r="S232" s="126" t="str">
        <f>VLOOKUP(T232,$A$3:$P$63,2,FALSE)</f>
        <v>Performing arts theatre</v>
      </c>
      <c r="T232" s="127">
        <f>+T220+1</f>
        <v>20</v>
      </c>
      <c r="U232" s="127">
        <f>+(T232-1)*10+1</f>
        <v>191</v>
      </c>
      <c r="V232" s="128" t="s">
        <v>230</v>
      </c>
      <c r="W232" s="129">
        <f>VLOOKUP(S232,$B$3:$M$63,2,FALSE)</f>
        <v>5.3269409829959535</v>
      </c>
      <c r="X232" s="129">
        <f>VLOOKUP(S232,$B$3:$M$63,10,FALSE)</f>
        <v>169.26246152690649</v>
      </c>
      <c r="Y232" s="130">
        <v>0</v>
      </c>
    </row>
    <row r="233" spans="19:25" x14ac:dyDescent="0.2">
      <c r="S233" s="131"/>
      <c r="T233" s="127"/>
      <c r="U233" s="127">
        <f>+(T232-1)*10+2</f>
        <v>192</v>
      </c>
      <c r="V233" s="128" t="s">
        <v>314</v>
      </c>
      <c r="W233" s="129">
        <f>VLOOKUP(S232,$B$3:$M$63,3,FALSE)</f>
        <v>0.29905465231507339</v>
      </c>
      <c r="X233" s="129"/>
      <c r="Y233" s="130">
        <v>0</v>
      </c>
    </row>
    <row r="234" spans="19:25" x14ac:dyDescent="0.2">
      <c r="S234" s="131"/>
      <c r="T234" s="127"/>
      <c r="U234" s="127">
        <f>+(T232-1)*10+3</f>
        <v>193</v>
      </c>
      <c r="V234" s="128" t="s">
        <v>232</v>
      </c>
      <c r="W234" s="129">
        <f>VLOOKUP(S232,$B$3:$M$63,4,FALSE)</f>
        <v>9.6566813853494278</v>
      </c>
      <c r="X234" s="129"/>
      <c r="Y234" s="130">
        <v>0</v>
      </c>
    </row>
    <row r="235" spans="19:25" x14ac:dyDescent="0.2">
      <c r="S235" s="131"/>
      <c r="T235" s="127"/>
      <c r="U235" s="127">
        <f>+(T232-1)*10+4</f>
        <v>194</v>
      </c>
      <c r="V235" s="128" t="s">
        <v>317</v>
      </c>
      <c r="W235" s="129">
        <f>VLOOKUP(S232,$B$3:$M$63,5,FALSE)</f>
        <v>10.596902901770267</v>
      </c>
      <c r="X235" s="129"/>
      <c r="Y235" s="130">
        <v>0</v>
      </c>
    </row>
    <row r="236" spans="19:25" x14ac:dyDescent="0.2">
      <c r="S236" s="131"/>
      <c r="T236" s="127"/>
      <c r="U236" s="127">
        <f>+(T232-1)*10+5</f>
        <v>195</v>
      </c>
      <c r="V236" s="128" t="s">
        <v>234</v>
      </c>
      <c r="W236" s="129">
        <f>VLOOKUP(S232,$B$3:$M$63,6,FALSE)</f>
        <v>42.7575668283638</v>
      </c>
      <c r="X236" s="129"/>
      <c r="Y236" s="130">
        <v>0</v>
      </c>
    </row>
    <row r="237" spans="19:25" x14ac:dyDescent="0.2">
      <c r="S237" s="131"/>
      <c r="T237" s="127"/>
      <c r="U237" s="127">
        <f>+(T232-1)*10+6</f>
        <v>196</v>
      </c>
      <c r="V237" s="128" t="s">
        <v>235</v>
      </c>
      <c r="W237" s="129">
        <f>VLOOKUP(S232,$B$3:$M$63,7,FALSE)</f>
        <v>1.1251991270622053</v>
      </c>
      <c r="X237" s="129"/>
      <c r="Y237" s="130">
        <v>0</v>
      </c>
    </row>
    <row r="238" spans="19:25" x14ac:dyDescent="0.2">
      <c r="S238" s="131"/>
      <c r="T238" s="127"/>
      <c r="U238" s="127">
        <f>+(T232-1)*10+7</f>
        <v>197</v>
      </c>
      <c r="V238" s="128" t="s">
        <v>236</v>
      </c>
      <c r="W238" s="129">
        <f>VLOOKUP(S232,$B$3:$M$63,8,FALSE)</f>
        <v>30.380376430679544</v>
      </c>
      <c r="X238" s="129">
        <f>VLOOKUP(S232,$B$3:$M$63,11,FALSE)</f>
        <v>6.5100946741117873</v>
      </c>
      <c r="Y238" s="130">
        <v>0</v>
      </c>
    </row>
    <row r="239" spans="19:25" x14ac:dyDescent="0.2">
      <c r="S239" s="131"/>
      <c r="T239" s="127"/>
      <c r="U239" s="127">
        <f>+(T232-1)*10+8</f>
        <v>198</v>
      </c>
      <c r="V239" s="128" t="s">
        <v>237</v>
      </c>
      <c r="W239" s="129"/>
      <c r="X239" s="129"/>
      <c r="Y239" s="130"/>
    </row>
    <row r="240" spans="19:25" x14ac:dyDescent="0.2">
      <c r="S240" s="131"/>
      <c r="T240" s="127"/>
      <c r="U240" s="127">
        <f>+(T232-1)*10+9</f>
        <v>199</v>
      </c>
      <c r="V240" s="128" t="s">
        <v>238</v>
      </c>
      <c r="W240" s="129">
        <f>VLOOKUP(S232,$B$3:$M$63,9,FALSE)</f>
        <v>0</v>
      </c>
      <c r="X240" s="129">
        <f>VLOOKUP(S232,$B$3:$M$63,12,FALSE)</f>
        <v>6.5100946741117873</v>
      </c>
      <c r="Y240" s="130">
        <v>0</v>
      </c>
    </row>
    <row r="241" spans="19:25" x14ac:dyDescent="0.2">
      <c r="T241" s="132"/>
      <c r="U241" s="127">
        <f>+(T232-1)*10+10</f>
        <v>200</v>
      </c>
      <c r="V241" s="123" t="s">
        <v>324</v>
      </c>
      <c r="W241" s="133">
        <f>SUM(W232:W240)</f>
        <v>100.14272230853628</v>
      </c>
      <c r="X241" s="133">
        <f>SUM(X232:X240)</f>
        <v>182.28265087513009</v>
      </c>
      <c r="Y241" s="125">
        <v>0</v>
      </c>
    </row>
    <row r="242" spans="19:25" x14ac:dyDescent="0.2">
      <c r="T242" s="132"/>
      <c r="U242" s="132"/>
      <c r="V242" s="132"/>
      <c r="W242" s="132"/>
      <c r="X242" s="132"/>
      <c r="Y242" s="132"/>
    </row>
    <row r="243" spans="19:25" x14ac:dyDescent="0.2">
      <c r="S243" s="122"/>
      <c r="T243" s="122"/>
      <c r="U243" s="122"/>
      <c r="V243" s="123" t="s">
        <v>227</v>
      </c>
      <c r="W243" s="124" t="s">
        <v>228</v>
      </c>
      <c r="X243" s="124" t="s">
        <v>229</v>
      </c>
      <c r="Y243" s="125" t="s">
        <v>239</v>
      </c>
    </row>
    <row r="244" spans="19:25" x14ac:dyDescent="0.2">
      <c r="S244" s="126" t="str">
        <f>VLOOKUP(T244,$A$3:$P$63,2,FALSE)</f>
        <v>Restaurant</v>
      </c>
      <c r="T244" s="127">
        <f>+T232+1</f>
        <v>21</v>
      </c>
      <c r="U244" s="127">
        <f>+(T244-1)*10+1</f>
        <v>201</v>
      </c>
      <c r="V244" s="128" t="s">
        <v>230</v>
      </c>
      <c r="W244" s="129">
        <f>VLOOKUP(S244,$B$3:$M$63,2,FALSE)</f>
        <v>7.2078826171901813</v>
      </c>
      <c r="X244" s="129">
        <f>VLOOKUP(S244,$B$3:$M$63,10,FALSE)</f>
        <v>20.872475724859093</v>
      </c>
      <c r="Y244" s="130">
        <v>0</v>
      </c>
    </row>
    <row r="245" spans="19:25" x14ac:dyDescent="0.2">
      <c r="S245" s="131"/>
      <c r="T245" s="127"/>
      <c r="U245" s="127">
        <f>+(T244-1)*10+2</f>
        <v>202</v>
      </c>
      <c r="V245" s="128" t="s">
        <v>314</v>
      </c>
      <c r="W245" s="129">
        <f>VLOOKUP(S244,$B$3:$M$63,3,FALSE)</f>
        <v>0.92898542316771904</v>
      </c>
      <c r="X245" s="129"/>
      <c r="Y245" s="130">
        <v>0</v>
      </c>
    </row>
    <row r="246" spans="19:25" x14ac:dyDescent="0.2">
      <c r="S246" s="131"/>
      <c r="T246" s="127"/>
      <c r="U246" s="127">
        <f>+(T244-1)*10+3</f>
        <v>203</v>
      </c>
      <c r="V246" s="128" t="s">
        <v>232</v>
      </c>
      <c r="W246" s="129">
        <f>VLOOKUP(S244,$B$3:$M$63,4,FALSE)</f>
        <v>7.9423261895923281</v>
      </c>
      <c r="X246" s="129"/>
      <c r="Y246" s="130">
        <v>0</v>
      </c>
    </row>
    <row r="247" spans="19:25" x14ac:dyDescent="0.2">
      <c r="S247" s="131"/>
      <c r="T247" s="127"/>
      <c r="U247" s="127">
        <f>+(T244-1)*10+4</f>
        <v>204</v>
      </c>
      <c r="V247" s="128" t="s">
        <v>317</v>
      </c>
      <c r="W247" s="129">
        <f>VLOOKUP(S244,$B$3:$M$63,5,FALSE)</f>
        <v>0.19454185076557182</v>
      </c>
      <c r="X247" s="129"/>
      <c r="Y247" s="130">
        <v>0</v>
      </c>
    </row>
    <row r="248" spans="19:25" x14ac:dyDescent="0.2">
      <c r="S248" s="131"/>
      <c r="T248" s="127"/>
      <c r="U248" s="127">
        <f>+(T244-1)*10+5</f>
        <v>205</v>
      </c>
      <c r="V248" s="128" t="s">
        <v>234</v>
      </c>
      <c r="W248" s="129">
        <f>VLOOKUP(S244,$B$3:$M$63,6,FALSE)</f>
        <v>12.20530206053685</v>
      </c>
      <c r="X248" s="129"/>
      <c r="Y248" s="130">
        <v>0</v>
      </c>
    </row>
    <row r="249" spans="19:25" x14ac:dyDescent="0.2">
      <c r="S249" s="131"/>
      <c r="T249" s="127"/>
      <c r="U249" s="127">
        <f>+(T244-1)*10+6</f>
        <v>206</v>
      </c>
      <c r="V249" s="128" t="s">
        <v>235</v>
      </c>
      <c r="W249" s="129">
        <f>VLOOKUP(S244,$B$3:$M$63,7,FALSE)</f>
        <v>4.06843402017895</v>
      </c>
      <c r="X249" s="129"/>
      <c r="Y249" s="130">
        <v>0</v>
      </c>
    </row>
    <row r="250" spans="19:25" x14ac:dyDescent="0.2">
      <c r="S250" s="131"/>
      <c r="T250" s="127"/>
      <c r="U250" s="127">
        <f>+(T244-1)*10+7</f>
        <v>207</v>
      </c>
      <c r="V250" s="128" t="s">
        <v>236</v>
      </c>
      <c r="W250" s="129">
        <f>VLOOKUP(S244,$B$3:$M$63,8,FALSE)</f>
        <v>12.20530206053685</v>
      </c>
      <c r="X250" s="129">
        <f>VLOOKUP(S244,$B$3:$M$63,11,FALSE)</f>
        <v>20.872475724859093</v>
      </c>
      <c r="Y250" s="130">
        <v>0</v>
      </c>
    </row>
    <row r="251" spans="19:25" x14ac:dyDescent="0.2">
      <c r="S251" s="131"/>
      <c r="T251" s="127"/>
      <c r="U251" s="127">
        <f>+(T244-1)*10+8</f>
        <v>208</v>
      </c>
      <c r="V251" s="128" t="s">
        <v>237</v>
      </c>
      <c r="W251" s="129"/>
      <c r="X251" s="129"/>
      <c r="Y251" s="130"/>
    </row>
    <row r="252" spans="19:25" x14ac:dyDescent="0.2">
      <c r="S252" s="131"/>
      <c r="T252" s="127"/>
      <c r="U252" s="127">
        <f>+(T244-1)*10+9</f>
        <v>209</v>
      </c>
      <c r="V252" s="128" t="s">
        <v>238</v>
      </c>
      <c r="W252" s="129">
        <f>VLOOKUP(S244,$B$3:$M$63,9,FALSE)</f>
        <v>223.76387110984226</v>
      </c>
      <c r="X252" s="129">
        <f>VLOOKUP(S244,$B$3:$M$63,12,FALSE)</f>
        <v>236.55472488173638</v>
      </c>
      <c r="Y252" s="130">
        <v>0</v>
      </c>
    </row>
    <row r="253" spans="19:25" x14ac:dyDescent="0.2">
      <c r="T253" s="132"/>
      <c r="U253" s="127">
        <f>+(T244-1)*10+10</f>
        <v>210</v>
      </c>
      <c r="V253" s="123" t="s">
        <v>324</v>
      </c>
      <c r="W253" s="133">
        <f>SUM(W244:W252)</f>
        <v>268.51664533181071</v>
      </c>
      <c r="X253" s="133">
        <f>SUM(X244:X252)</f>
        <v>278.29967633145458</v>
      </c>
      <c r="Y253" s="125">
        <v>0</v>
      </c>
    </row>
    <row r="254" spans="19:25" x14ac:dyDescent="0.2">
      <c r="T254" s="132"/>
      <c r="U254" s="132"/>
      <c r="V254" s="132"/>
      <c r="W254" s="132"/>
      <c r="X254" s="132"/>
      <c r="Y254" s="132"/>
    </row>
    <row r="255" spans="19:25" x14ac:dyDescent="0.2">
      <c r="S255" s="122"/>
      <c r="T255" s="122"/>
      <c r="U255" s="122"/>
      <c r="V255" s="123" t="s">
        <v>227</v>
      </c>
      <c r="W255" s="124" t="s">
        <v>228</v>
      </c>
      <c r="X255" s="124" t="s">
        <v>229</v>
      </c>
      <c r="Y255" s="125" t="s">
        <v>239</v>
      </c>
    </row>
    <row r="256" spans="19:25" ht="60" x14ac:dyDescent="0.2">
      <c r="S256" s="126" t="str">
        <f>VLOOKUP(T256,$A$3:$P$63,2,FALSE)</f>
        <v>Entertainment asset common areas*</v>
      </c>
      <c r="T256" s="127">
        <f>+T244+1</f>
        <v>22</v>
      </c>
      <c r="U256" s="127">
        <f>+(T256-1)*10+1</f>
        <v>211</v>
      </c>
      <c r="V256" s="128" t="s">
        <v>230</v>
      </c>
      <c r="W256" s="129">
        <f>VLOOKUP(S256,$B$3:$M$63,2,FALSE)</f>
        <v>22.34911479818129</v>
      </c>
      <c r="X256" s="129">
        <f>VLOOKUP(S256,$B$3:$M$63,10,FALSE)</f>
        <v>45.142664810060808</v>
      </c>
      <c r="Y256" s="130">
        <v>0</v>
      </c>
    </row>
    <row r="257" spans="19:25" x14ac:dyDescent="0.2">
      <c r="S257" s="131"/>
      <c r="T257" s="127"/>
      <c r="U257" s="127">
        <f>+(T256-1)*10+2</f>
        <v>212</v>
      </c>
      <c r="V257" s="128" t="s">
        <v>314</v>
      </c>
      <c r="W257" s="129">
        <f>VLOOKUP(S256,$B$3:$M$63,3,FALSE)</f>
        <v>14.548269507323461</v>
      </c>
      <c r="X257" s="129"/>
      <c r="Y257" s="130">
        <v>0</v>
      </c>
    </row>
    <row r="258" spans="19:25" x14ac:dyDescent="0.2">
      <c r="S258" s="131"/>
      <c r="T258" s="127"/>
      <c r="U258" s="127">
        <f>+(T256-1)*10+3</f>
        <v>213</v>
      </c>
      <c r="V258" s="128" t="s">
        <v>232</v>
      </c>
      <c r="W258" s="129">
        <f>VLOOKUP(S256,$B$3:$M$63,4,FALSE)</f>
        <v>14.83080840971297</v>
      </c>
      <c r="X258" s="129"/>
      <c r="Y258" s="130">
        <v>0</v>
      </c>
    </row>
    <row r="259" spans="19:25" x14ac:dyDescent="0.2">
      <c r="S259" s="131"/>
      <c r="T259" s="127"/>
      <c r="U259" s="127">
        <f>+(T256-1)*10+4</f>
        <v>214</v>
      </c>
      <c r="V259" s="128" t="s">
        <v>317</v>
      </c>
      <c r="W259" s="129">
        <f>VLOOKUP(S256,$B$3:$M$63,5,FALSE)</f>
        <v>15.693391333931865</v>
      </c>
      <c r="X259" s="129"/>
      <c r="Y259" s="130">
        <v>0</v>
      </c>
    </row>
    <row r="260" spans="19:25" x14ac:dyDescent="0.2">
      <c r="S260" s="131"/>
      <c r="T260" s="127"/>
      <c r="U260" s="127">
        <f>+(T256-1)*10+5</f>
        <v>215</v>
      </c>
      <c r="V260" s="128" t="s">
        <v>234</v>
      </c>
      <c r="W260" s="129">
        <f>VLOOKUP(S256,$B$3:$M$63,6,FALSE)</f>
        <v>21.802999816889173</v>
      </c>
      <c r="X260" s="129"/>
      <c r="Y260" s="130">
        <v>0</v>
      </c>
    </row>
    <row r="261" spans="19:25" x14ac:dyDescent="0.2">
      <c r="S261" s="131"/>
      <c r="T261" s="127"/>
      <c r="U261" s="127">
        <f>+(T256-1)*10+6</f>
        <v>216</v>
      </c>
      <c r="V261" s="128" t="s">
        <v>235</v>
      </c>
      <c r="W261" s="129">
        <f>VLOOKUP(S256,$B$3:$M$63,7,FALSE)</f>
        <v>8.3857691603419902</v>
      </c>
      <c r="X261" s="129"/>
      <c r="Y261" s="130">
        <v>0</v>
      </c>
    </row>
    <row r="262" spans="19:25" x14ac:dyDescent="0.2">
      <c r="S262" s="131"/>
      <c r="T262" s="127"/>
      <c r="U262" s="127">
        <f>+(T256-1)*10+7</f>
        <v>217</v>
      </c>
      <c r="V262" s="128" t="s">
        <v>236</v>
      </c>
      <c r="W262" s="129">
        <f>VLOOKUP(S256,$B$3:$M$63,8,FALSE)</f>
        <v>55.34607645825713</v>
      </c>
      <c r="X262" s="129">
        <f>VLOOKUP(S256,$B$3:$M$63,11,FALSE)</f>
        <v>11.139099108976044</v>
      </c>
      <c r="Y262" s="130">
        <v>0</v>
      </c>
    </row>
    <row r="263" spans="19:25" x14ac:dyDescent="0.2">
      <c r="S263" s="131"/>
      <c r="T263" s="127"/>
      <c r="U263" s="127">
        <f>+(T256-1)*10+8</f>
        <v>218</v>
      </c>
      <c r="V263" s="128" t="s">
        <v>237</v>
      </c>
      <c r="W263" s="129"/>
      <c r="X263" s="129"/>
      <c r="Y263" s="130"/>
    </row>
    <row r="264" spans="19:25" x14ac:dyDescent="0.2">
      <c r="S264" s="131"/>
      <c r="T264" s="127"/>
      <c r="U264" s="127">
        <f>+(T256-1)*10+9</f>
        <v>219</v>
      </c>
      <c r="V264" s="128" t="s">
        <v>238</v>
      </c>
      <c r="W264" s="129">
        <f>VLOOKUP(S256,$B$3:$M$63,9,FALSE)</f>
        <v>34.494526010300362</v>
      </c>
      <c r="X264" s="129">
        <f>VLOOKUP(S256,$B$3:$M$63,12,FALSE)</f>
        <v>2.9313418707831693</v>
      </c>
      <c r="Y264" s="130">
        <v>0</v>
      </c>
    </row>
    <row r="265" spans="19:25" x14ac:dyDescent="0.2">
      <c r="T265" s="132"/>
      <c r="U265" s="127">
        <f>+(T256-1)*10+10</f>
        <v>220</v>
      </c>
      <c r="V265" s="123" t="s">
        <v>324</v>
      </c>
      <c r="W265" s="133">
        <f>SUM(W256:W264)</f>
        <v>187.45095549493823</v>
      </c>
      <c r="X265" s="133">
        <f>SUM(X256:X264)</f>
        <v>59.21310578982002</v>
      </c>
      <c r="Y265" s="125">
        <v>0</v>
      </c>
    </row>
    <row r="266" spans="19:25" x14ac:dyDescent="0.2">
      <c r="T266" s="132"/>
      <c r="U266" s="132"/>
      <c r="V266" s="132"/>
      <c r="W266" s="132"/>
      <c r="X266" s="132"/>
      <c r="Y266" s="132"/>
    </row>
    <row r="267" spans="19:25" x14ac:dyDescent="0.2">
      <c r="S267" s="122"/>
      <c r="T267" s="122"/>
      <c r="U267" s="122"/>
      <c r="V267" s="123" t="s">
        <v>227</v>
      </c>
      <c r="W267" s="124" t="s">
        <v>228</v>
      </c>
      <c r="X267" s="124" t="s">
        <v>229</v>
      </c>
      <c r="Y267" s="125" t="s">
        <v>239</v>
      </c>
    </row>
    <row r="268" spans="19:25" ht="30" x14ac:dyDescent="0.2">
      <c r="S268" s="126" t="str">
        <f>VLOOKUP(T268,$A$3:$P$63,2,FALSE)</f>
        <v>Ambulance station</v>
      </c>
      <c r="T268" s="127">
        <f>+T256+1</f>
        <v>23</v>
      </c>
      <c r="U268" s="127">
        <f>+(T268-1)*10+1</f>
        <v>221</v>
      </c>
      <c r="V268" s="128" t="s">
        <v>230</v>
      </c>
      <c r="W268" s="129">
        <f>VLOOKUP(S268,$B$3:$M$63,2,FALSE)</f>
        <v>5.6116191228877197</v>
      </c>
      <c r="X268" s="129">
        <f>VLOOKUP(S268,$B$3:$M$63,10,FALSE)</f>
        <v>173.8931143539719</v>
      </c>
      <c r="Y268" s="130">
        <v>0</v>
      </c>
    </row>
    <row r="269" spans="19:25" x14ac:dyDescent="0.2">
      <c r="S269" s="131"/>
      <c r="T269" s="127"/>
      <c r="U269" s="127">
        <f>+(T268-1)*10+2</f>
        <v>222</v>
      </c>
      <c r="V269" s="128" t="s">
        <v>314</v>
      </c>
      <c r="W269" s="129">
        <f>VLOOKUP(S268,$B$3:$M$63,3,FALSE)</f>
        <v>0.41824339828056772</v>
      </c>
      <c r="X269" s="129"/>
      <c r="Y269" s="130">
        <v>0</v>
      </c>
    </row>
    <row r="270" spans="19:25" x14ac:dyDescent="0.2">
      <c r="S270" s="131"/>
      <c r="T270" s="127"/>
      <c r="U270" s="127">
        <f>+(T268-1)*10+3</f>
        <v>223</v>
      </c>
      <c r="V270" s="128" t="s">
        <v>232</v>
      </c>
      <c r="W270" s="129">
        <f>VLOOKUP(S268,$B$3:$M$63,4,FALSE)</f>
        <v>4.4847029624766002</v>
      </c>
      <c r="X270" s="129"/>
      <c r="Y270" s="130">
        <v>0</v>
      </c>
    </row>
    <row r="271" spans="19:25" x14ac:dyDescent="0.2">
      <c r="S271" s="131"/>
      <c r="T271" s="127"/>
      <c r="U271" s="127">
        <f>+(T268-1)*10+4</f>
        <v>224</v>
      </c>
      <c r="V271" s="128" t="s">
        <v>317</v>
      </c>
      <c r="W271" s="129">
        <f>VLOOKUP(S268,$B$3:$M$63,5,FALSE)</f>
        <v>1.79388118499064</v>
      </c>
      <c r="X271" s="129"/>
      <c r="Y271" s="130">
        <v>0</v>
      </c>
    </row>
    <row r="272" spans="19:25" x14ac:dyDescent="0.2">
      <c r="S272" s="131"/>
      <c r="T272" s="127"/>
      <c r="U272" s="127">
        <f>+(T268-1)*10+5</f>
        <v>225</v>
      </c>
      <c r="V272" s="128" t="s">
        <v>234</v>
      </c>
      <c r="W272" s="129">
        <f>VLOOKUP(S268,$B$3:$M$63,6,FALSE)</f>
        <v>0.83648679656113545</v>
      </c>
      <c r="X272" s="129"/>
      <c r="Y272" s="130">
        <v>0</v>
      </c>
    </row>
    <row r="273" spans="19:25" x14ac:dyDescent="0.2">
      <c r="S273" s="131"/>
      <c r="T273" s="127"/>
      <c r="U273" s="127">
        <f>+(T268-1)*10+6</f>
        <v>226</v>
      </c>
      <c r="V273" s="128" t="s">
        <v>235</v>
      </c>
      <c r="W273" s="129">
        <f>VLOOKUP(S268,$B$3:$M$63,7,FALSE)</f>
        <v>6.1680810664718173</v>
      </c>
      <c r="X273" s="129"/>
      <c r="Y273" s="130">
        <v>0</v>
      </c>
    </row>
    <row r="274" spans="19:25" x14ac:dyDescent="0.2">
      <c r="S274" s="131"/>
      <c r="T274" s="127"/>
      <c r="U274" s="127">
        <f>+(T268-1)*10+7</f>
        <v>227</v>
      </c>
      <c r="V274" s="128" t="s">
        <v>236</v>
      </c>
      <c r="W274" s="129">
        <f>VLOOKUP(S268,$B$3:$M$63,8,FALSE)</f>
        <v>51.489681958727097</v>
      </c>
      <c r="X274" s="129">
        <f>VLOOKUP(S268,$B$3:$M$63,11,FALSE)</f>
        <v>27.554504071811294</v>
      </c>
      <c r="Y274" s="130">
        <v>0</v>
      </c>
    </row>
    <row r="275" spans="19:25" x14ac:dyDescent="0.2">
      <c r="S275" s="131"/>
      <c r="T275" s="127"/>
      <c r="U275" s="127">
        <f>+(T268-1)*10+8</f>
        <v>228</v>
      </c>
      <c r="V275" s="128" t="s">
        <v>237</v>
      </c>
      <c r="W275" s="129"/>
      <c r="X275" s="129"/>
      <c r="Y275" s="130"/>
    </row>
    <row r="276" spans="19:25" x14ac:dyDescent="0.2">
      <c r="S276" s="131"/>
      <c r="T276" s="127"/>
      <c r="U276" s="127">
        <f>+(T268-1)*10+9</f>
        <v>229</v>
      </c>
      <c r="V276" s="128" t="s">
        <v>238</v>
      </c>
      <c r="W276" s="129">
        <f>VLOOKUP(S268,$B$3:$M$63,9,FALSE)</f>
        <v>47.686743540606187</v>
      </c>
      <c r="X276" s="129">
        <f>VLOOKUP(S268,$B$3:$M$63,12,FALSE)</f>
        <v>6.9585044186268057</v>
      </c>
      <c r="Y276" s="130">
        <v>0</v>
      </c>
    </row>
    <row r="277" spans="19:25" x14ac:dyDescent="0.2">
      <c r="T277" s="132"/>
      <c r="U277" s="127">
        <f>+(T268-1)*10+10</f>
        <v>230</v>
      </c>
      <c r="V277" s="123" t="s">
        <v>324</v>
      </c>
      <c r="W277" s="133">
        <f>SUM(W268:W276)</f>
        <v>118.48944003100176</v>
      </c>
      <c r="X277" s="133">
        <f>SUM(X268:X276)</f>
        <v>208.40612284440999</v>
      </c>
      <c r="Y277" s="125">
        <v>0</v>
      </c>
    </row>
    <row r="278" spans="19:25" x14ac:dyDescent="0.2">
      <c r="T278" s="132"/>
      <c r="U278" s="132"/>
      <c r="V278" s="132"/>
      <c r="W278" s="132"/>
      <c r="X278" s="132"/>
      <c r="Y278" s="132"/>
    </row>
    <row r="279" spans="19:25" x14ac:dyDescent="0.2">
      <c r="S279" s="122"/>
      <c r="T279" s="122"/>
      <c r="U279" s="122"/>
      <c r="V279" s="123" t="s">
        <v>227</v>
      </c>
      <c r="W279" s="124" t="s">
        <v>228</v>
      </c>
      <c r="X279" s="124" t="s">
        <v>229</v>
      </c>
      <c r="Y279" s="125" t="s">
        <v>239</v>
      </c>
    </row>
    <row r="280" spans="19:25" ht="45" x14ac:dyDescent="0.2">
      <c r="S280" s="126" t="str">
        <f>VLOOKUP(T280,$A$3:$P$63,2,FALSE)</f>
        <v>Hospital: acute + maternity</v>
      </c>
      <c r="T280" s="127">
        <f>+T268+1</f>
        <v>24</v>
      </c>
      <c r="U280" s="127">
        <f>+(T280-1)*10+1</f>
        <v>231</v>
      </c>
      <c r="V280" s="128" t="s">
        <v>230</v>
      </c>
      <c r="W280" s="129">
        <f>VLOOKUP(S280,$B$3:$M$63,2,FALSE)</f>
        <v>0.65564359366839942</v>
      </c>
      <c r="X280" s="129">
        <f>VLOOKUP(S280,$B$3:$M$63,10,FALSE)</f>
        <v>192.93706156342333</v>
      </c>
      <c r="Y280" s="130">
        <v>0</v>
      </c>
    </row>
    <row r="281" spans="19:25" x14ac:dyDescent="0.2">
      <c r="S281" s="131"/>
      <c r="T281" s="127"/>
      <c r="U281" s="127">
        <f>+(T280-1)*10+2</f>
        <v>232</v>
      </c>
      <c r="V281" s="128" t="s">
        <v>314</v>
      </c>
      <c r="W281" s="129">
        <f>VLOOKUP(S280,$B$3:$M$63,3,FALSE)</f>
        <v>2.0233867403124695</v>
      </c>
      <c r="X281" s="129"/>
      <c r="Y281" s="130">
        <v>0</v>
      </c>
    </row>
    <row r="282" spans="19:25" x14ac:dyDescent="0.2">
      <c r="S282" s="131"/>
      <c r="T282" s="127"/>
      <c r="U282" s="127">
        <f>+(T280-1)*10+3</f>
        <v>233</v>
      </c>
      <c r="V282" s="128" t="s">
        <v>232</v>
      </c>
      <c r="W282" s="129">
        <f>VLOOKUP(S280,$B$3:$M$63,4,FALSE)</f>
        <v>7.3673334184473891</v>
      </c>
      <c r="X282" s="129"/>
      <c r="Y282" s="130">
        <v>0</v>
      </c>
    </row>
    <row r="283" spans="19:25" x14ac:dyDescent="0.2">
      <c r="S283" s="131"/>
      <c r="T283" s="127"/>
      <c r="U283" s="127">
        <f>+(T280-1)*10+4</f>
        <v>234</v>
      </c>
      <c r="V283" s="128" t="s">
        <v>317</v>
      </c>
      <c r="W283" s="129">
        <f>VLOOKUP(S280,$B$3:$M$63,5,FALSE)</f>
        <v>7.3673334184473891</v>
      </c>
      <c r="X283" s="129"/>
      <c r="Y283" s="130">
        <v>0</v>
      </c>
    </row>
    <row r="284" spans="19:25" x14ac:dyDescent="0.2">
      <c r="S284" s="131"/>
      <c r="T284" s="127"/>
      <c r="U284" s="127">
        <f>+(T280-1)*10+5</f>
        <v>235</v>
      </c>
      <c r="V284" s="128" t="s">
        <v>234</v>
      </c>
      <c r="W284" s="129">
        <f>VLOOKUP(S280,$B$3:$M$63,6,FALSE)</f>
        <v>32.148364007770425</v>
      </c>
      <c r="X284" s="129"/>
      <c r="Y284" s="130">
        <v>0</v>
      </c>
    </row>
    <row r="285" spans="19:25" x14ac:dyDescent="0.2">
      <c r="S285" s="131"/>
      <c r="T285" s="127"/>
      <c r="U285" s="127">
        <f>+(T280-1)*10+6</f>
        <v>236</v>
      </c>
      <c r="V285" s="128" t="s">
        <v>235</v>
      </c>
      <c r="W285" s="129">
        <f>VLOOKUP(S280,$B$3:$M$63,7,FALSE)</f>
        <v>4.0185455009713031</v>
      </c>
      <c r="X285" s="129"/>
      <c r="Y285" s="130">
        <v>0</v>
      </c>
    </row>
    <row r="286" spans="19:25" x14ac:dyDescent="0.2">
      <c r="S286" s="131"/>
      <c r="T286" s="127"/>
      <c r="U286" s="127">
        <f>+(T280-1)*10+7</f>
        <v>237</v>
      </c>
      <c r="V286" s="128" t="s">
        <v>236</v>
      </c>
      <c r="W286" s="129">
        <f>VLOOKUP(S280,$B$3:$M$63,8,FALSE)</f>
        <v>33.487879174760863</v>
      </c>
      <c r="X286" s="129">
        <f>VLOOKUP(S280,$B$3:$M$63,11,FALSE)</f>
        <v>67.788697306067661</v>
      </c>
      <c r="Y286" s="130">
        <v>0</v>
      </c>
    </row>
    <row r="287" spans="19:25" x14ac:dyDescent="0.2">
      <c r="S287" s="131"/>
      <c r="T287" s="127"/>
      <c r="U287" s="127">
        <f>+(T280-1)*10+8</f>
        <v>238</v>
      </c>
      <c r="V287" s="128" t="s">
        <v>237</v>
      </c>
      <c r="W287" s="129"/>
      <c r="X287" s="129"/>
      <c r="Y287" s="130"/>
    </row>
    <row r="288" spans="19:25" x14ac:dyDescent="0.2">
      <c r="S288" s="131"/>
      <c r="T288" s="127"/>
      <c r="U288" s="127">
        <f>+(T280-1)*10+9</f>
        <v>239</v>
      </c>
      <c r="V288" s="128" t="s">
        <v>238</v>
      </c>
      <c r="W288" s="129">
        <f>VLOOKUP(S280,$B$3:$M$63,9,FALSE)</f>
        <v>48.222546011655638</v>
      </c>
      <c r="X288" s="129">
        <f>VLOOKUP(S280,$B$3:$M$63,12,FALSE)</f>
        <v>79.521356455194748</v>
      </c>
      <c r="Y288" s="130">
        <v>0</v>
      </c>
    </row>
    <row r="289" spans="19:25" x14ac:dyDescent="0.2">
      <c r="T289" s="132"/>
      <c r="U289" s="127">
        <f>+(T280-1)*10+10</f>
        <v>240</v>
      </c>
      <c r="V289" s="123" t="s">
        <v>324</v>
      </c>
      <c r="W289" s="133">
        <f>SUM(W280:W288)</f>
        <v>135.29103186603388</v>
      </c>
      <c r="X289" s="133">
        <f>SUM(X280:X288)</f>
        <v>340.24711532468569</v>
      </c>
      <c r="Y289" s="125">
        <v>0</v>
      </c>
    </row>
    <row r="290" spans="19:25" x14ac:dyDescent="0.2">
      <c r="T290" s="132"/>
      <c r="U290" s="132"/>
      <c r="V290" s="132"/>
      <c r="W290" s="132"/>
      <c r="X290" s="132"/>
      <c r="Y290" s="132"/>
    </row>
    <row r="291" spans="19:25" x14ac:dyDescent="0.2">
      <c r="S291" s="122"/>
      <c r="T291" s="122"/>
      <c r="U291" s="122"/>
      <c r="V291" s="123" t="s">
        <v>227</v>
      </c>
      <c r="W291" s="124" t="s">
        <v>228</v>
      </c>
      <c r="X291" s="124" t="s">
        <v>229</v>
      </c>
      <c r="Y291" s="125" t="s">
        <v>239</v>
      </c>
    </row>
    <row r="292" spans="19:25" ht="30" x14ac:dyDescent="0.2">
      <c r="S292" s="126" t="str">
        <f>VLOOKUP(T292,$A$3:$P$63,2,FALSE)</f>
        <v>Hospital: cottage</v>
      </c>
      <c r="T292" s="127">
        <f>+T280+1</f>
        <v>25</v>
      </c>
      <c r="U292" s="127">
        <f>+(T292-1)*10+1</f>
        <v>241</v>
      </c>
      <c r="V292" s="128" t="s">
        <v>230</v>
      </c>
      <c r="W292" s="129">
        <f>VLOOKUP(S292,$B$3:$M$63,2,FALSE)</f>
        <v>1.3353827170446972</v>
      </c>
      <c r="X292" s="129">
        <f>VLOOKUP(S292,$B$3:$M$63,10,FALSE)</f>
        <v>192.93706156342333</v>
      </c>
      <c r="Y292" s="130">
        <v>0</v>
      </c>
    </row>
    <row r="293" spans="19:25" x14ac:dyDescent="0.2">
      <c r="S293" s="131"/>
      <c r="T293" s="127"/>
      <c r="U293" s="127">
        <f>+(T292-1)*10+2</f>
        <v>242</v>
      </c>
      <c r="V293" s="128" t="s">
        <v>314</v>
      </c>
      <c r="W293" s="129">
        <f>VLOOKUP(S292,$B$3:$M$63,3,FALSE)</f>
        <v>1.343647616936172</v>
      </c>
      <c r="X293" s="129"/>
      <c r="Y293" s="130">
        <v>0</v>
      </c>
    </row>
    <row r="294" spans="19:25" x14ac:dyDescent="0.2">
      <c r="S294" s="131"/>
      <c r="T294" s="127"/>
      <c r="U294" s="127">
        <f>+(T292-1)*10+3</f>
        <v>243</v>
      </c>
      <c r="V294" s="128" t="s">
        <v>232</v>
      </c>
      <c r="W294" s="129">
        <f>VLOOKUP(S292,$B$3:$M$63,4,FALSE)</f>
        <v>7.3673334184473891</v>
      </c>
      <c r="X294" s="129"/>
      <c r="Y294" s="130">
        <v>0</v>
      </c>
    </row>
    <row r="295" spans="19:25" x14ac:dyDescent="0.2">
      <c r="S295" s="131"/>
      <c r="T295" s="127"/>
      <c r="U295" s="127">
        <f>+(T292-1)*10+4</f>
        <v>244</v>
      </c>
      <c r="V295" s="128" t="s">
        <v>317</v>
      </c>
      <c r="W295" s="129">
        <f>VLOOKUP(S292,$B$3:$M$63,5,FALSE)</f>
        <v>7.3673334184473891</v>
      </c>
      <c r="X295" s="129"/>
      <c r="Y295" s="130">
        <v>0</v>
      </c>
    </row>
    <row r="296" spans="19:25" x14ac:dyDescent="0.2">
      <c r="S296" s="131"/>
      <c r="T296" s="127"/>
      <c r="U296" s="127">
        <f>+(T292-1)*10+5</f>
        <v>245</v>
      </c>
      <c r="V296" s="128" t="s">
        <v>234</v>
      </c>
      <c r="W296" s="129">
        <f>VLOOKUP(S292,$B$3:$M$63,6,FALSE)</f>
        <v>32.148364007770425</v>
      </c>
      <c r="X296" s="129"/>
      <c r="Y296" s="130">
        <v>0</v>
      </c>
    </row>
    <row r="297" spans="19:25" x14ac:dyDescent="0.2">
      <c r="S297" s="131"/>
      <c r="T297" s="127"/>
      <c r="U297" s="127">
        <f>+(T292-1)*10+6</f>
        <v>246</v>
      </c>
      <c r="V297" s="128" t="s">
        <v>235</v>
      </c>
      <c r="W297" s="129">
        <f>VLOOKUP(S292,$B$3:$M$63,7,FALSE)</f>
        <v>4.0185455009713031</v>
      </c>
      <c r="X297" s="129"/>
      <c r="Y297" s="130">
        <v>0</v>
      </c>
    </row>
    <row r="298" spans="19:25" x14ac:dyDescent="0.2">
      <c r="S298" s="131"/>
      <c r="T298" s="127"/>
      <c r="U298" s="127">
        <f>+(T292-1)*10+7</f>
        <v>247</v>
      </c>
      <c r="V298" s="128" t="s">
        <v>236</v>
      </c>
      <c r="W298" s="129">
        <f>VLOOKUP(S292,$B$3:$M$63,8,FALSE)</f>
        <v>33.487879174760863</v>
      </c>
      <c r="X298" s="129">
        <f>VLOOKUP(S292,$B$3:$M$63,11,FALSE)</f>
        <v>67.788697306067661</v>
      </c>
      <c r="Y298" s="130">
        <v>0</v>
      </c>
    </row>
    <row r="299" spans="19:25" x14ac:dyDescent="0.2">
      <c r="S299" s="131"/>
      <c r="T299" s="127"/>
      <c r="U299" s="127">
        <f>+(T292-1)*10+8</f>
        <v>248</v>
      </c>
      <c r="V299" s="128" t="s">
        <v>237</v>
      </c>
      <c r="W299" s="129"/>
      <c r="X299" s="129"/>
      <c r="Y299" s="130"/>
    </row>
    <row r="300" spans="19:25" x14ac:dyDescent="0.2">
      <c r="S300" s="131"/>
      <c r="T300" s="127"/>
      <c r="U300" s="127">
        <f>+(T292-1)*10+9</f>
        <v>249</v>
      </c>
      <c r="V300" s="128" t="s">
        <v>238</v>
      </c>
      <c r="W300" s="129">
        <f>VLOOKUP(S292,$B$3:$M$63,9,FALSE)</f>
        <v>48.222546011655638</v>
      </c>
      <c r="X300" s="129">
        <f>VLOOKUP(S292,$B$3:$M$63,12,FALSE)</f>
        <v>79.521356455194748</v>
      </c>
      <c r="Y300" s="130">
        <v>0</v>
      </c>
    </row>
    <row r="301" spans="19:25" x14ac:dyDescent="0.2">
      <c r="T301" s="132"/>
      <c r="U301" s="127">
        <f>+(T292-1)*10+10</f>
        <v>250</v>
      </c>
      <c r="V301" s="123" t="s">
        <v>324</v>
      </c>
      <c r="W301" s="133">
        <f>SUM(W292:W300)</f>
        <v>135.29103186603388</v>
      </c>
      <c r="X301" s="133">
        <f>SUM(X292:X300)</f>
        <v>340.24711532468569</v>
      </c>
      <c r="Y301" s="125">
        <v>0</v>
      </c>
    </row>
    <row r="302" spans="19:25" x14ac:dyDescent="0.2">
      <c r="T302" s="132"/>
      <c r="U302" s="132"/>
      <c r="V302" s="132"/>
      <c r="W302" s="132"/>
      <c r="X302" s="132"/>
      <c r="Y302" s="132"/>
    </row>
    <row r="303" spans="19:25" x14ac:dyDescent="0.2">
      <c r="S303" s="122"/>
      <c r="T303" s="122"/>
      <c r="U303" s="122"/>
      <c r="V303" s="123" t="s">
        <v>227</v>
      </c>
      <c r="W303" s="124" t="s">
        <v>228</v>
      </c>
      <c r="X303" s="124" t="s">
        <v>229</v>
      </c>
      <c r="Y303" s="125" t="s">
        <v>239</v>
      </c>
    </row>
    <row r="304" spans="19:25" ht="30" x14ac:dyDescent="0.2">
      <c r="S304" s="126" t="str">
        <f>VLOOKUP(T304,$A$3:$P$63,2,FALSE)</f>
        <v>Hospital: long stay</v>
      </c>
      <c r="T304" s="127">
        <f>+T292+1</f>
        <v>26</v>
      </c>
      <c r="U304" s="127">
        <f>+(T304-1)*10+1</f>
        <v>251</v>
      </c>
      <c r="V304" s="128" t="s">
        <v>230</v>
      </c>
      <c r="W304" s="129">
        <f>VLOOKUP(S304,$B$3:$M$63,2,FALSE)</f>
        <v>1.3353827170446972</v>
      </c>
      <c r="X304" s="129">
        <f>VLOOKUP(S304,$B$3:$M$63,10,FALSE)</f>
        <v>192.93706156342333</v>
      </c>
      <c r="Y304" s="130">
        <v>0</v>
      </c>
    </row>
    <row r="305" spans="19:25" x14ac:dyDescent="0.2">
      <c r="S305" s="131"/>
      <c r="T305" s="127"/>
      <c r="U305" s="127">
        <f>+(T304-1)*10+2</f>
        <v>252</v>
      </c>
      <c r="V305" s="128" t="s">
        <v>314</v>
      </c>
      <c r="W305" s="129">
        <f>VLOOKUP(S304,$B$3:$M$63,3,FALSE)</f>
        <v>1.343647616936172</v>
      </c>
      <c r="X305" s="129"/>
      <c r="Y305" s="130">
        <v>0</v>
      </c>
    </row>
    <row r="306" spans="19:25" x14ac:dyDescent="0.2">
      <c r="S306" s="131"/>
      <c r="T306" s="127"/>
      <c r="U306" s="127">
        <f>+(T304-1)*10+3</f>
        <v>253</v>
      </c>
      <c r="V306" s="128" t="s">
        <v>232</v>
      </c>
      <c r="W306" s="129">
        <f>VLOOKUP(S304,$B$3:$M$63,4,FALSE)</f>
        <v>7.3673334184473891</v>
      </c>
      <c r="X306" s="129"/>
      <c r="Y306" s="130">
        <v>0</v>
      </c>
    </row>
    <row r="307" spans="19:25" x14ac:dyDescent="0.2">
      <c r="S307" s="131"/>
      <c r="T307" s="127"/>
      <c r="U307" s="127">
        <f>+(T304-1)*10+4</f>
        <v>254</v>
      </c>
      <c r="V307" s="128" t="s">
        <v>317</v>
      </c>
      <c r="W307" s="129">
        <f>VLOOKUP(S304,$B$3:$M$63,5,FALSE)</f>
        <v>7.3673334184473891</v>
      </c>
      <c r="X307" s="129"/>
      <c r="Y307" s="130">
        <v>0</v>
      </c>
    </row>
    <row r="308" spans="19:25" x14ac:dyDescent="0.2">
      <c r="S308" s="131"/>
      <c r="T308" s="127"/>
      <c r="U308" s="127">
        <f>+(T304-1)*10+5</f>
        <v>255</v>
      </c>
      <c r="V308" s="128" t="s">
        <v>234</v>
      </c>
      <c r="W308" s="129">
        <f>VLOOKUP(S304,$B$3:$M$63,6,FALSE)</f>
        <v>32.148364007770425</v>
      </c>
      <c r="X308" s="129"/>
      <c r="Y308" s="130">
        <v>0</v>
      </c>
    </row>
    <row r="309" spans="19:25" x14ac:dyDescent="0.2">
      <c r="S309" s="131"/>
      <c r="T309" s="127"/>
      <c r="U309" s="127">
        <f>+(T304-1)*10+6</f>
        <v>256</v>
      </c>
      <c r="V309" s="128" t="s">
        <v>235</v>
      </c>
      <c r="W309" s="129">
        <f>VLOOKUP(S304,$B$3:$M$63,7,FALSE)</f>
        <v>4.0185455009713031</v>
      </c>
      <c r="X309" s="129"/>
      <c r="Y309" s="130">
        <v>0</v>
      </c>
    </row>
    <row r="310" spans="19:25" x14ac:dyDescent="0.2">
      <c r="S310" s="131"/>
      <c r="T310" s="127"/>
      <c r="U310" s="127">
        <f>+(T304-1)*10+7</f>
        <v>257</v>
      </c>
      <c r="V310" s="128" t="s">
        <v>236</v>
      </c>
      <c r="W310" s="129">
        <f>VLOOKUP(S304,$B$3:$M$63,8,FALSE)</f>
        <v>33.487879174760863</v>
      </c>
      <c r="X310" s="129">
        <f>VLOOKUP(S304,$B$3:$M$63,11,FALSE)</f>
        <v>67.788697306067661</v>
      </c>
      <c r="Y310" s="130">
        <v>0</v>
      </c>
    </row>
    <row r="311" spans="19:25" x14ac:dyDescent="0.2">
      <c r="S311" s="131"/>
      <c r="T311" s="127"/>
      <c r="U311" s="127">
        <f>+(T304-1)*10+8</f>
        <v>258</v>
      </c>
      <c r="V311" s="128" t="s">
        <v>237</v>
      </c>
      <c r="W311" s="129"/>
      <c r="X311" s="129"/>
      <c r="Y311" s="130"/>
    </row>
    <row r="312" spans="19:25" x14ac:dyDescent="0.2">
      <c r="S312" s="131"/>
      <c r="T312" s="127"/>
      <c r="U312" s="127">
        <f>+(T304-1)*10+9</f>
        <v>259</v>
      </c>
      <c r="V312" s="128" t="s">
        <v>238</v>
      </c>
      <c r="W312" s="129">
        <f>VLOOKUP(S304,$B$3:$M$63,9,FALSE)</f>
        <v>48.222546011655638</v>
      </c>
      <c r="X312" s="129">
        <f>VLOOKUP(S304,$B$3:$M$63,12,FALSE)</f>
        <v>79.521356455194748</v>
      </c>
      <c r="Y312" s="130">
        <v>0</v>
      </c>
    </row>
    <row r="313" spans="19:25" x14ac:dyDescent="0.2">
      <c r="T313" s="132"/>
      <c r="U313" s="127">
        <f>+(T304-1)*10+10</f>
        <v>260</v>
      </c>
      <c r="V313" s="123" t="s">
        <v>324</v>
      </c>
      <c r="W313" s="133">
        <f>SUM(W304:W312)</f>
        <v>135.29103186603388</v>
      </c>
      <c r="X313" s="133">
        <f>SUM(X304:X312)</f>
        <v>340.24711532468569</v>
      </c>
      <c r="Y313" s="125">
        <v>0</v>
      </c>
    </row>
    <row r="314" spans="19:25" x14ac:dyDescent="0.2">
      <c r="T314" s="132"/>
      <c r="U314" s="132"/>
      <c r="V314" s="132"/>
      <c r="W314" s="132"/>
      <c r="X314" s="132"/>
      <c r="Y314" s="132"/>
    </row>
    <row r="315" spans="19:25" x14ac:dyDescent="0.2">
      <c r="S315" s="122"/>
      <c r="T315" s="122"/>
      <c r="U315" s="122"/>
      <c r="V315" s="123" t="s">
        <v>227</v>
      </c>
      <c r="W315" s="124" t="s">
        <v>228</v>
      </c>
      <c r="X315" s="124" t="s">
        <v>229</v>
      </c>
      <c r="Y315" s="125" t="s">
        <v>239</v>
      </c>
    </row>
    <row r="316" spans="19:25" ht="45" x14ac:dyDescent="0.2">
      <c r="S316" s="126" t="str">
        <f>VLOOKUP(T316,$A$3:$P$63,2,FALSE)</f>
        <v>Hospital: teaching + specialist</v>
      </c>
      <c r="T316" s="127">
        <f>+T304+1</f>
        <v>27</v>
      </c>
      <c r="U316" s="127">
        <f>+(T316-1)*10+1</f>
        <v>261</v>
      </c>
      <c r="V316" s="128" t="s">
        <v>230</v>
      </c>
      <c r="W316" s="129">
        <f>VLOOKUP(S316,$B$3:$M$63,2,FALSE)</f>
        <v>0.65564359366839942</v>
      </c>
      <c r="X316" s="129">
        <f>VLOOKUP(S316,$B$3:$M$63,10,FALSE)</f>
        <v>192.93706156342333</v>
      </c>
      <c r="Y316" s="130">
        <v>0</v>
      </c>
    </row>
    <row r="317" spans="19:25" x14ac:dyDescent="0.2">
      <c r="S317" s="131"/>
      <c r="T317" s="127"/>
      <c r="U317" s="127">
        <f>+(T316-1)*10+2</f>
        <v>262</v>
      </c>
      <c r="V317" s="128" t="s">
        <v>314</v>
      </c>
      <c r="W317" s="129">
        <f>VLOOKUP(S316,$B$3:$M$63,3,FALSE)</f>
        <v>2.0233867403124695</v>
      </c>
      <c r="X317" s="129"/>
      <c r="Y317" s="130">
        <v>0</v>
      </c>
    </row>
    <row r="318" spans="19:25" x14ac:dyDescent="0.2">
      <c r="S318" s="131"/>
      <c r="T318" s="127"/>
      <c r="U318" s="127">
        <f>+(T316-1)*10+3</f>
        <v>263</v>
      </c>
      <c r="V318" s="128" t="s">
        <v>232</v>
      </c>
      <c r="W318" s="129">
        <f>VLOOKUP(S316,$B$3:$M$63,4,FALSE)</f>
        <v>7.3673334184473891</v>
      </c>
      <c r="X318" s="129"/>
      <c r="Y318" s="130">
        <v>0</v>
      </c>
    </row>
    <row r="319" spans="19:25" x14ac:dyDescent="0.2">
      <c r="S319" s="131"/>
      <c r="T319" s="127"/>
      <c r="U319" s="127">
        <f>+(T316-1)*10+4</f>
        <v>264</v>
      </c>
      <c r="V319" s="128" t="s">
        <v>317</v>
      </c>
      <c r="W319" s="129">
        <f>VLOOKUP(S316,$B$3:$M$63,5,FALSE)</f>
        <v>7.3673334184473891</v>
      </c>
      <c r="X319" s="129"/>
      <c r="Y319" s="130">
        <v>0</v>
      </c>
    </row>
    <row r="320" spans="19:25" x14ac:dyDescent="0.2">
      <c r="S320" s="131"/>
      <c r="T320" s="127"/>
      <c r="U320" s="127">
        <f>+(T316-1)*10+5</f>
        <v>265</v>
      </c>
      <c r="V320" s="128" t="s">
        <v>234</v>
      </c>
      <c r="W320" s="129">
        <f>VLOOKUP(S316,$B$3:$M$63,6,FALSE)</f>
        <v>32.148364007770425</v>
      </c>
      <c r="X320" s="129"/>
      <c r="Y320" s="130">
        <v>0</v>
      </c>
    </row>
    <row r="321" spans="19:25" x14ac:dyDescent="0.2">
      <c r="S321" s="131"/>
      <c r="T321" s="127"/>
      <c r="U321" s="127">
        <f>+(T316-1)*10+6</f>
        <v>266</v>
      </c>
      <c r="V321" s="128" t="s">
        <v>235</v>
      </c>
      <c r="W321" s="129">
        <f>VLOOKUP(S316,$B$3:$M$63,7,FALSE)</f>
        <v>4.0185455009713031</v>
      </c>
      <c r="X321" s="129"/>
      <c r="Y321" s="130">
        <v>0</v>
      </c>
    </row>
    <row r="322" spans="19:25" x14ac:dyDescent="0.2">
      <c r="S322" s="131"/>
      <c r="T322" s="127"/>
      <c r="U322" s="127">
        <f>+(T316-1)*10+7</f>
        <v>267</v>
      </c>
      <c r="V322" s="128" t="s">
        <v>236</v>
      </c>
      <c r="W322" s="129">
        <f>VLOOKUP(S316,$B$3:$M$63,8,FALSE)</f>
        <v>33.487879174760863</v>
      </c>
      <c r="X322" s="129">
        <f>VLOOKUP(S316,$B$3:$M$63,11,FALSE)</f>
        <v>67.788697306067661</v>
      </c>
      <c r="Y322" s="130">
        <v>0</v>
      </c>
    </row>
    <row r="323" spans="19:25" x14ac:dyDescent="0.2">
      <c r="S323" s="131"/>
      <c r="T323" s="127"/>
      <c r="U323" s="127">
        <f>+(T316-1)*10+8</f>
        <v>268</v>
      </c>
      <c r="V323" s="128" t="s">
        <v>237</v>
      </c>
      <c r="W323" s="129"/>
      <c r="X323" s="129"/>
      <c r="Y323" s="130"/>
    </row>
    <row r="324" spans="19:25" x14ac:dyDescent="0.2">
      <c r="S324" s="131"/>
      <c r="T324" s="127"/>
      <c r="U324" s="127">
        <f>+(T316-1)*10+9</f>
        <v>269</v>
      </c>
      <c r="V324" s="128" t="s">
        <v>238</v>
      </c>
      <c r="W324" s="129">
        <f>VLOOKUP(S316,$B$3:$M$63,9,FALSE)</f>
        <v>48.222546011655638</v>
      </c>
      <c r="X324" s="129">
        <f>VLOOKUP(S316,$B$3:$M$63,12,FALSE)</f>
        <v>79.521356455194748</v>
      </c>
      <c r="Y324" s="130">
        <v>0</v>
      </c>
    </row>
    <row r="325" spans="19:25" x14ac:dyDescent="0.2">
      <c r="T325" s="132"/>
      <c r="U325" s="127">
        <f>+(T316-1)*10+10</f>
        <v>270</v>
      </c>
      <c r="V325" s="123" t="s">
        <v>324</v>
      </c>
      <c r="W325" s="133">
        <f>SUM(W316:W324)</f>
        <v>135.29103186603388</v>
      </c>
      <c r="X325" s="133">
        <f>SUM(X316:X324)</f>
        <v>340.24711532468569</v>
      </c>
      <c r="Y325" s="125">
        <v>0</v>
      </c>
    </row>
    <row r="326" spans="19:25" x14ac:dyDescent="0.2">
      <c r="T326" s="132"/>
      <c r="U326" s="132"/>
      <c r="V326" s="132"/>
      <c r="W326" s="132"/>
      <c r="X326" s="132"/>
      <c r="Y326" s="132"/>
    </row>
    <row r="327" spans="19:25" x14ac:dyDescent="0.2">
      <c r="S327" s="122"/>
      <c r="T327" s="122"/>
      <c r="U327" s="122"/>
      <c r="V327" s="123" t="s">
        <v>227</v>
      </c>
      <c r="W327" s="124" t="s">
        <v>228</v>
      </c>
      <c r="X327" s="124" t="s">
        <v>229</v>
      </c>
      <c r="Y327" s="125" t="s">
        <v>239</v>
      </c>
    </row>
    <row r="328" spans="19:25" ht="45" x14ac:dyDescent="0.2">
      <c r="S328" s="126" t="str">
        <f>VLOOKUP(T328,$A$3:$P$63,2,FALSE)</f>
        <v>Primary healthcare surgery</v>
      </c>
      <c r="T328" s="127">
        <f>+T316+1</f>
        <v>28</v>
      </c>
      <c r="U328" s="127">
        <f>+(T328-1)*10+1</f>
        <v>271</v>
      </c>
      <c r="V328" s="128" t="s">
        <v>230</v>
      </c>
      <c r="W328" s="129">
        <f>VLOOKUP(S328,$B$3:$M$63,2,FALSE)</f>
        <v>7.2937832066955046</v>
      </c>
      <c r="X328" s="129">
        <f>VLOOKUP(S328,$B$3:$M$63,10,FALSE)</f>
        <v>140.05285683516016</v>
      </c>
      <c r="Y328" s="130">
        <v>0</v>
      </c>
    </row>
    <row r="329" spans="19:25" x14ac:dyDescent="0.2">
      <c r="S329" s="131"/>
      <c r="T329" s="127"/>
      <c r="U329" s="127">
        <f>+(T328-1)*10+2</f>
        <v>272</v>
      </c>
      <c r="V329" s="128" t="s">
        <v>314</v>
      </c>
      <c r="W329" s="129">
        <f>VLOOKUP(S328,$B$3:$M$63,3,FALSE)</f>
        <v>0.27817145881457933</v>
      </c>
      <c r="X329" s="129"/>
      <c r="Y329" s="130">
        <v>0</v>
      </c>
    </row>
    <row r="330" spans="19:25" x14ac:dyDescent="0.2">
      <c r="S330" s="131"/>
      <c r="T330" s="127"/>
      <c r="U330" s="127">
        <f>+(T328-1)*10+3</f>
        <v>273</v>
      </c>
      <c r="V330" s="128" t="s">
        <v>232</v>
      </c>
      <c r="W330" s="129">
        <f>VLOOKUP(S328,$B$3:$M$63,4,FALSE)</f>
        <v>4.0883518344294432</v>
      </c>
      <c r="X330" s="129"/>
      <c r="Y330" s="130">
        <v>0</v>
      </c>
    </row>
    <row r="331" spans="19:25" x14ac:dyDescent="0.2">
      <c r="S331" s="131"/>
      <c r="T331" s="127"/>
      <c r="U331" s="127">
        <f>+(T328-1)*10+4</f>
        <v>274</v>
      </c>
      <c r="V331" s="128" t="s">
        <v>317</v>
      </c>
      <c r="W331" s="129">
        <f>VLOOKUP(S328,$B$3:$M$63,5,FALSE)</f>
        <v>1.6353407337717774</v>
      </c>
      <c r="X331" s="129"/>
      <c r="Y331" s="130">
        <v>0</v>
      </c>
    </row>
    <row r="332" spans="19:25" x14ac:dyDescent="0.2">
      <c r="S332" s="131"/>
      <c r="T332" s="127"/>
      <c r="U332" s="127">
        <f>+(T328-1)*10+5</f>
        <v>275</v>
      </c>
      <c r="V332" s="128" t="s">
        <v>234</v>
      </c>
      <c r="W332" s="129">
        <f>VLOOKUP(S328,$B$3:$M$63,6,FALSE)</f>
        <v>0.55634291762915866</v>
      </c>
      <c r="X332" s="129"/>
      <c r="Y332" s="130">
        <v>0</v>
      </c>
    </row>
    <row r="333" spans="19:25" x14ac:dyDescent="0.2">
      <c r="S333" s="131"/>
      <c r="T333" s="127"/>
      <c r="U333" s="127">
        <f>+(T328-1)*10+6</f>
        <v>276</v>
      </c>
      <c r="V333" s="128" t="s">
        <v>235</v>
      </c>
      <c r="W333" s="129">
        <f>VLOOKUP(S328,$B$3:$M$63,7,FALSE)</f>
        <v>2.9640550799613465</v>
      </c>
      <c r="X333" s="129"/>
      <c r="Y333" s="130">
        <v>0</v>
      </c>
    </row>
    <row r="334" spans="19:25" x14ac:dyDescent="0.2">
      <c r="S334" s="131"/>
      <c r="T334" s="127"/>
      <c r="U334" s="127">
        <f>+(T328-1)*10+7</f>
        <v>277</v>
      </c>
      <c r="V334" s="128" t="s">
        <v>236</v>
      </c>
      <c r="W334" s="129">
        <f>VLOOKUP(S328,$B$3:$M$63,8,FALSE)</f>
        <v>33.560299004391041</v>
      </c>
      <c r="X334" s="129">
        <f>VLOOKUP(S328,$B$3:$M$63,11,FALSE)</f>
        <v>22.923544344780851</v>
      </c>
      <c r="Y334" s="130">
        <v>0</v>
      </c>
    </row>
    <row r="335" spans="19:25" x14ac:dyDescent="0.2">
      <c r="S335" s="131"/>
      <c r="T335" s="127"/>
      <c r="U335" s="127">
        <f>+(T328-1)*10+8</f>
        <v>278</v>
      </c>
      <c r="V335" s="128" t="s">
        <v>237</v>
      </c>
      <c r="W335" s="129"/>
      <c r="X335" s="129"/>
      <c r="Y335" s="130"/>
    </row>
    <row r="336" spans="19:25" x14ac:dyDescent="0.2">
      <c r="S336" s="131"/>
      <c r="T336" s="127"/>
      <c r="U336" s="127">
        <f>+(T328-1)*10+9</f>
        <v>279</v>
      </c>
      <c r="V336" s="128" t="s">
        <v>238</v>
      </c>
      <c r="W336" s="129">
        <f>VLOOKUP(S328,$B$3:$M$63,9,FALSE)</f>
        <v>27.126541489586117</v>
      </c>
      <c r="X336" s="129">
        <f>VLOOKUP(S328,$B$3:$M$63,12,FALSE)</f>
        <v>0</v>
      </c>
      <c r="Y336" s="130">
        <v>0</v>
      </c>
    </row>
    <row r="337" spans="19:25" x14ac:dyDescent="0.2">
      <c r="T337" s="132"/>
      <c r="U337" s="127">
        <f>+(T328-1)*10+10</f>
        <v>280</v>
      </c>
      <c r="V337" s="123" t="s">
        <v>324</v>
      </c>
      <c r="W337" s="133">
        <f>SUM(W328:W336)</f>
        <v>77.502885725278972</v>
      </c>
      <c r="X337" s="133">
        <f>SUM(X328:X336)</f>
        <v>162.97640117994101</v>
      </c>
      <c r="Y337" s="125">
        <v>0</v>
      </c>
    </row>
    <row r="338" spans="19:25" x14ac:dyDescent="0.2">
      <c r="T338" s="132"/>
      <c r="U338" s="132"/>
      <c r="V338" s="132"/>
      <c r="W338" s="132"/>
      <c r="X338" s="132"/>
      <c r="Y338" s="132"/>
    </row>
    <row r="339" spans="19:25" x14ac:dyDescent="0.2">
      <c r="S339" s="122"/>
      <c r="T339" s="122"/>
      <c r="U339" s="122"/>
      <c r="V339" s="123" t="s">
        <v>227</v>
      </c>
      <c r="W339" s="124" t="s">
        <v>228</v>
      </c>
      <c r="X339" s="124" t="s">
        <v>229</v>
      </c>
      <c r="Y339" s="125" t="s">
        <v>239</v>
      </c>
    </row>
    <row r="340" spans="19:25" ht="60" x14ac:dyDescent="0.2">
      <c r="S340" s="126" t="str">
        <f>VLOOKUP(T340,$A$3:$P$63,2,FALSE)</f>
        <v>Healthcare asset common areas*</v>
      </c>
      <c r="T340" s="127">
        <f>+T328+1</f>
        <v>29</v>
      </c>
      <c r="U340" s="127">
        <f>+(T340-1)*10+1</f>
        <v>281</v>
      </c>
      <c r="V340" s="128" t="s">
        <v>230</v>
      </c>
      <c r="W340" s="129">
        <f>VLOOKUP(S340,$B$3:$M$63,2,FALSE)</f>
        <v>22.34911479818129</v>
      </c>
      <c r="X340" s="129">
        <f>VLOOKUP(S340,$B$3:$M$63,10,FALSE)</f>
        <v>45.142664810060808</v>
      </c>
      <c r="Y340" s="130">
        <v>0</v>
      </c>
    </row>
    <row r="341" spans="19:25" x14ac:dyDescent="0.2">
      <c r="S341" s="131"/>
      <c r="T341" s="127"/>
      <c r="U341" s="127">
        <f>+(T340-1)*10+2</f>
        <v>282</v>
      </c>
      <c r="V341" s="128" t="s">
        <v>314</v>
      </c>
      <c r="W341" s="129">
        <f>VLOOKUP(S340,$B$3:$M$63,3,FALSE)</f>
        <v>14.548269507323461</v>
      </c>
      <c r="X341" s="129"/>
      <c r="Y341" s="130">
        <v>0</v>
      </c>
    </row>
    <row r="342" spans="19:25" x14ac:dyDescent="0.2">
      <c r="S342" s="131"/>
      <c r="T342" s="127"/>
      <c r="U342" s="127">
        <f>+(T340-1)*10+3</f>
        <v>283</v>
      </c>
      <c r="V342" s="128" t="s">
        <v>232</v>
      </c>
      <c r="W342" s="129">
        <f>VLOOKUP(S340,$B$3:$M$63,4,FALSE)</f>
        <v>14.83080840971297</v>
      </c>
      <c r="X342" s="129"/>
      <c r="Y342" s="130">
        <v>0</v>
      </c>
    </row>
    <row r="343" spans="19:25" x14ac:dyDescent="0.2">
      <c r="S343" s="131"/>
      <c r="T343" s="127"/>
      <c r="U343" s="127">
        <f>+(T340-1)*10+4</f>
        <v>284</v>
      </c>
      <c r="V343" s="128" t="s">
        <v>317</v>
      </c>
      <c r="W343" s="129">
        <f>VLOOKUP(S340,$B$3:$M$63,5,FALSE)</f>
        <v>15.693391333931865</v>
      </c>
      <c r="X343" s="129"/>
      <c r="Y343" s="130">
        <v>0</v>
      </c>
    </row>
    <row r="344" spans="19:25" x14ac:dyDescent="0.2">
      <c r="S344" s="131"/>
      <c r="T344" s="127"/>
      <c r="U344" s="127">
        <f>+(T340-1)*10+5</f>
        <v>285</v>
      </c>
      <c r="V344" s="128" t="s">
        <v>234</v>
      </c>
      <c r="W344" s="129">
        <f>VLOOKUP(S340,$B$3:$M$63,6,FALSE)</f>
        <v>21.802999816889173</v>
      </c>
      <c r="X344" s="129"/>
      <c r="Y344" s="130">
        <v>0</v>
      </c>
    </row>
    <row r="345" spans="19:25" x14ac:dyDescent="0.2">
      <c r="S345" s="131"/>
      <c r="T345" s="127"/>
      <c r="U345" s="127">
        <f>+(T340-1)*10+6</f>
        <v>286</v>
      </c>
      <c r="V345" s="128" t="s">
        <v>235</v>
      </c>
      <c r="W345" s="129">
        <f>VLOOKUP(S340,$B$3:$M$63,7,FALSE)</f>
        <v>8.3857691603419902</v>
      </c>
      <c r="X345" s="129"/>
      <c r="Y345" s="130">
        <v>0</v>
      </c>
    </row>
    <row r="346" spans="19:25" x14ac:dyDescent="0.2">
      <c r="S346" s="131"/>
      <c r="T346" s="127"/>
      <c r="U346" s="127">
        <f>+(T340-1)*10+7</f>
        <v>287</v>
      </c>
      <c r="V346" s="128" t="s">
        <v>236</v>
      </c>
      <c r="W346" s="129">
        <f>VLOOKUP(S340,$B$3:$M$63,8,FALSE)</f>
        <v>55.34607645825713</v>
      </c>
      <c r="X346" s="129">
        <f>VLOOKUP(S340,$B$3:$M$63,11,FALSE)</f>
        <v>11.139099108976044</v>
      </c>
      <c r="Y346" s="130">
        <v>0</v>
      </c>
    </row>
    <row r="347" spans="19:25" x14ac:dyDescent="0.2">
      <c r="S347" s="131"/>
      <c r="T347" s="127"/>
      <c r="U347" s="127">
        <f>+(T340-1)*10+8</f>
        <v>288</v>
      </c>
      <c r="V347" s="128" t="s">
        <v>237</v>
      </c>
      <c r="W347" s="129"/>
      <c r="X347" s="129"/>
      <c r="Y347" s="130"/>
    </row>
    <row r="348" spans="19:25" x14ac:dyDescent="0.2">
      <c r="S348" s="131"/>
      <c r="T348" s="127"/>
      <c r="U348" s="127">
        <f>+(T340-1)*10+9</f>
        <v>289</v>
      </c>
      <c r="V348" s="128" t="s">
        <v>238</v>
      </c>
      <c r="W348" s="129">
        <f>VLOOKUP(S340,$B$3:$M$63,9,FALSE)</f>
        <v>34.494526010300362</v>
      </c>
      <c r="X348" s="129">
        <f>VLOOKUP(S340,$B$3:$M$63,12,FALSE)</f>
        <v>2.9313418707831693</v>
      </c>
      <c r="Y348" s="130">
        <v>0</v>
      </c>
    </row>
    <row r="349" spans="19:25" x14ac:dyDescent="0.2">
      <c r="T349" s="132"/>
      <c r="U349" s="127">
        <f>+(T340-1)*10+10</f>
        <v>290</v>
      </c>
      <c r="V349" s="123" t="s">
        <v>324</v>
      </c>
      <c r="W349" s="133">
        <f>SUM(W340:W348)</f>
        <v>187.45095549493823</v>
      </c>
      <c r="X349" s="133">
        <f>SUM(X340:X348)</f>
        <v>59.21310578982002</v>
      </c>
      <c r="Y349" s="125">
        <v>0</v>
      </c>
    </row>
    <row r="350" spans="19:25" x14ac:dyDescent="0.2">
      <c r="T350" s="132"/>
      <c r="U350" s="132"/>
      <c r="V350" s="132"/>
      <c r="W350" s="132"/>
      <c r="X350" s="132"/>
      <c r="Y350" s="132"/>
    </row>
    <row r="351" spans="19:25" x14ac:dyDescent="0.2">
      <c r="S351" s="122"/>
      <c r="T351" s="122"/>
      <c r="U351" s="122"/>
      <c r="V351" s="123" t="s">
        <v>227</v>
      </c>
      <c r="W351" s="124" t="s">
        <v>228</v>
      </c>
      <c r="X351" s="124" t="s">
        <v>229</v>
      </c>
      <c r="Y351" s="125" t="s">
        <v>239</v>
      </c>
    </row>
    <row r="352" spans="19:25" x14ac:dyDescent="0.2">
      <c r="S352" s="126" t="str">
        <f>VLOOKUP(T352,$A$3:$P$63,2,FALSE)</f>
        <v>Hotel</v>
      </c>
      <c r="T352" s="127">
        <f>+T340+1</f>
        <v>30</v>
      </c>
      <c r="U352" s="127">
        <f>+(T352-1)*10+1</f>
        <v>291</v>
      </c>
      <c r="V352" s="128" t="s">
        <v>230</v>
      </c>
      <c r="W352" s="129">
        <f>VLOOKUP(S352,$B$3:$M$63,2,FALSE)</f>
        <v>0</v>
      </c>
      <c r="X352" s="129">
        <f>VLOOKUP(S352,$B$3:$M$63,10,FALSE)</f>
        <v>109.12939779115942</v>
      </c>
      <c r="Y352" s="130">
        <v>0</v>
      </c>
    </row>
    <row r="353" spans="19:25" x14ac:dyDescent="0.2">
      <c r="S353" s="131"/>
      <c r="T353" s="127"/>
      <c r="U353" s="127">
        <f>+(T352-1)*10+2</f>
        <v>292</v>
      </c>
      <c r="V353" s="128" t="s">
        <v>314</v>
      </c>
      <c r="W353" s="129">
        <f>VLOOKUP(S352,$B$3:$M$63,3,FALSE)</f>
        <v>9.3188854773806593</v>
      </c>
      <c r="X353" s="129"/>
      <c r="Y353" s="130">
        <v>0</v>
      </c>
    </row>
    <row r="354" spans="19:25" x14ac:dyDescent="0.2">
      <c r="S354" s="131"/>
      <c r="T354" s="127"/>
      <c r="U354" s="127">
        <f>+(T352-1)*10+3</f>
        <v>293</v>
      </c>
      <c r="V354" s="128" t="s">
        <v>232</v>
      </c>
      <c r="W354" s="129">
        <f>VLOOKUP(S352,$B$3:$M$63,4,FALSE)</f>
        <v>5.0830234432024683</v>
      </c>
      <c r="X354" s="129"/>
      <c r="Y354" s="130">
        <v>0</v>
      </c>
    </row>
    <row r="355" spans="19:25" x14ac:dyDescent="0.2">
      <c r="S355" s="131"/>
      <c r="T355" s="127"/>
      <c r="U355" s="127">
        <f>+(T352-1)*10+4</f>
        <v>294</v>
      </c>
      <c r="V355" s="128" t="s">
        <v>317</v>
      </c>
      <c r="W355" s="129">
        <f>VLOOKUP(S352,$B$3:$M$63,5,FALSE)</f>
        <v>4.2358620341781901</v>
      </c>
      <c r="X355" s="129"/>
      <c r="Y355" s="130">
        <v>0</v>
      </c>
    </row>
    <row r="356" spans="19:25" x14ac:dyDescent="0.2">
      <c r="S356" s="131"/>
      <c r="T356" s="127"/>
      <c r="U356" s="127">
        <f>+(T352-1)*10+5</f>
        <v>295</v>
      </c>
      <c r="V356" s="128" t="s">
        <v>234</v>
      </c>
      <c r="W356" s="129">
        <f>VLOOKUP(S352,$B$3:$M$63,6,FALSE)</f>
        <v>27.956656432141976</v>
      </c>
      <c r="X356" s="129"/>
      <c r="Y356" s="130">
        <v>0</v>
      </c>
    </row>
    <row r="357" spans="19:25" x14ac:dyDescent="0.2">
      <c r="S357" s="131"/>
      <c r="T357" s="127"/>
      <c r="U357" s="127">
        <f>+(T352-1)*10+6</f>
        <v>296</v>
      </c>
      <c r="V357" s="128" t="s">
        <v>235</v>
      </c>
      <c r="W357" s="129">
        <f>VLOOKUP(S352,$B$3:$M$63,7,FALSE)</f>
        <v>4.6594427386903297</v>
      </c>
      <c r="X357" s="129"/>
      <c r="Y357" s="130">
        <v>0</v>
      </c>
    </row>
    <row r="358" spans="19:25" x14ac:dyDescent="0.2">
      <c r="S358" s="131"/>
      <c r="T358" s="127"/>
      <c r="U358" s="127">
        <f>+(T352-1)*10+7</f>
        <v>297</v>
      </c>
      <c r="V358" s="128" t="s">
        <v>236</v>
      </c>
      <c r="W358" s="129">
        <f>VLOOKUP(S352,$B$3:$M$63,8,FALSE)</f>
        <v>18.637770954761319</v>
      </c>
      <c r="X358" s="129">
        <f>VLOOKUP(S352,$B$3:$M$63,11,FALSE)</f>
        <v>48.501954573848636</v>
      </c>
      <c r="Y358" s="130">
        <v>0</v>
      </c>
    </row>
    <row r="359" spans="19:25" x14ac:dyDescent="0.2">
      <c r="S359" s="131"/>
      <c r="T359" s="127"/>
      <c r="U359" s="127">
        <f>+(T352-1)*10+8</f>
        <v>298</v>
      </c>
      <c r="V359" s="128" t="s">
        <v>237</v>
      </c>
      <c r="W359" s="129"/>
      <c r="X359" s="129"/>
      <c r="Y359" s="130"/>
    </row>
    <row r="360" spans="19:25" x14ac:dyDescent="0.2">
      <c r="S360" s="131"/>
      <c r="T360" s="127"/>
      <c r="U360" s="127">
        <f>+(T352-1)*10+9</f>
        <v>299</v>
      </c>
      <c r="V360" s="128" t="s">
        <v>238</v>
      </c>
      <c r="W360" s="129">
        <f>VLOOKUP(S352,$B$3:$M$63,9,FALSE)</f>
        <v>46.594427386903298</v>
      </c>
      <c r="X360" s="129">
        <f>VLOOKUP(S352,$B$3:$M$63,12,FALSE)</f>
        <v>48.501954573848636</v>
      </c>
      <c r="Y360" s="130">
        <v>0</v>
      </c>
    </row>
    <row r="361" spans="19:25" x14ac:dyDescent="0.2">
      <c r="T361" s="132"/>
      <c r="U361" s="127">
        <f>+(T352-1)*10+10</f>
        <v>300</v>
      </c>
      <c r="V361" s="123" t="s">
        <v>324</v>
      </c>
      <c r="W361" s="133">
        <f>SUM(W352:W360)</f>
        <v>116.48606846725824</v>
      </c>
      <c r="X361" s="133">
        <f>SUM(X352:X360)</f>
        <v>206.13330693885672</v>
      </c>
      <c r="Y361" s="125">
        <v>0</v>
      </c>
    </row>
    <row r="362" spans="19:25" x14ac:dyDescent="0.2">
      <c r="T362" s="132"/>
      <c r="U362" s="132"/>
      <c r="V362" s="132"/>
      <c r="W362" s="132"/>
      <c r="X362" s="132"/>
      <c r="Y362" s="132"/>
    </row>
    <row r="363" spans="19:25" x14ac:dyDescent="0.2">
      <c r="S363" s="122"/>
      <c r="T363" s="122"/>
      <c r="U363" s="122"/>
      <c r="V363" s="123" t="s">
        <v>227</v>
      </c>
      <c r="W363" s="124" t="s">
        <v>228</v>
      </c>
      <c r="X363" s="124" t="s">
        <v>229</v>
      </c>
      <c r="Y363" s="125" t="s">
        <v>239</v>
      </c>
    </row>
    <row r="364" spans="19:25" ht="60" x14ac:dyDescent="0.2">
      <c r="S364" s="126" t="str">
        <f>VLOOKUP(T364,$A$3:$P$63,2,FALSE)</f>
        <v>Hospitality asset common areas*</v>
      </c>
      <c r="T364" s="127">
        <f>+T352+1</f>
        <v>31</v>
      </c>
      <c r="U364" s="127">
        <f>+(T364-1)*10+1</f>
        <v>301</v>
      </c>
      <c r="V364" s="128" t="s">
        <v>230</v>
      </c>
      <c r="W364" s="129">
        <f>VLOOKUP(S364,$B$3:$M$63,2,FALSE)</f>
        <v>22.34911479818129</v>
      </c>
      <c r="X364" s="129">
        <f>VLOOKUP(S364,$B$3:$M$63,10,FALSE)</f>
        <v>45.142664810060808</v>
      </c>
      <c r="Y364" s="130">
        <v>0</v>
      </c>
    </row>
    <row r="365" spans="19:25" x14ac:dyDescent="0.2">
      <c r="S365" s="131"/>
      <c r="T365" s="127"/>
      <c r="U365" s="127">
        <f>+(T364-1)*10+2</f>
        <v>302</v>
      </c>
      <c r="V365" s="128" t="s">
        <v>314</v>
      </c>
      <c r="W365" s="129">
        <f>VLOOKUP(S364,$B$3:$M$63,3,FALSE)</f>
        <v>14.548269507323461</v>
      </c>
      <c r="X365" s="129"/>
      <c r="Y365" s="130">
        <v>0</v>
      </c>
    </row>
    <row r="366" spans="19:25" x14ac:dyDescent="0.2">
      <c r="S366" s="131"/>
      <c r="T366" s="127"/>
      <c r="U366" s="127">
        <f>+(T364-1)*10+3</f>
        <v>303</v>
      </c>
      <c r="V366" s="128" t="s">
        <v>232</v>
      </c>
      <c r="W366" s="129">
        <f>VLOOKUP(S364,$B$3:$M$63,4,FALSE)</f>
        <v>14.83080840971297</v>
      </c>
      <c r="X366" s="129"/>
      <c r="Y366" s="130">
        <v>0</v>
      </c>
    </row>
    <row r="367" spans="19:25" x14ac:dyDescent="0.2">
      <c r="S367" s="131"/>
      <c r="T367" s="127"/>
      <c r="U367" s="127">
        <f>+(T364-1)*10+4</f>
        <v>304</v>
      </c>
      <c r="V367" s="128" t="s">
        <v>317</v>
      </c>
      <c r="W367" s="129">
        <f>VLOOKUP(S364,$B$3:$M$63,5,FALSE)</f>
        <v>15.693391333931865</v>
      </c>
      <c r="X367" s="129"/>
      <c r="Y367" s="130">
        <v>0</v>
      </c>
    </row>
    <row r="368" spans="19:25" x14ac:dyDescent="0.2">
      <c r="S368" s="131"/>
      <c r="T368" s="127"/>
      <c r="U368" s="127">
        <f>+(T364-1)*10+5</f>
        <v>305</v>
      </c>
      <c r="V368" s="128" t="s">
        <v>234</v>
      </c>
      <c r="W368" s="129">
        <f>VLOOKUP(S364,$B$3:$M$63,6,FALSE)</f>
        <v>21.802999816889173</v>
      </c>
      <c r="X368" s="129"/>
      <c r="Y368" s="130">
        <v>0</v>
      </c>
    </row>
    <row r="369" spans="19:25" x14ac:dyDescent="0.2">
      <c r="S369" s="131"/>
      <c r="T369" s="127"/>
      <c r="U369" s="127">
        <f>+(T364-1)*10+6</f>
        <v>306</v>
      </c>
      <c r="V369" s="128" t="s">
        <v>235</v>
      </c>
      <c r="W369" s="129">
        <f>VLOOKUP(S364,$B$3:$M$63,7,FALSE)</f>
        <v>8.3857691603419902</v>
      </c>
      <c r="X369" s="129"/>
      <c r="Y369" s="130">
        <v>0</v>
      </c>
    </row>
    <row r="370" spans="19:25" x14ac:dyDescent="0.2">
      <c r="S370" s="131"/>
      <c r="T370" s="127"/>
      <c r="U370" s="127">
        <f>+(T364-1)*10+7</f>
        <v>307</v>
      </c>
      <c r="V370" s="128" t="s">
        <v>236</v>
      </c>
      <c r="W370" s="129">
        <f>VLOOKUP(S364,$B$3:$M$63,8,FALSE)</f>
        <v>55.34607645825713</v>
      </c>
      <c r="X370" s="129">
        <f>VLOOKUP(S364,$B$3:$M$63,11,FALSE)</f>
        <v>11.139099108976044</v>
      </c>
      <c r="Y370" s="130">
        <v>0</v>
      </c>
    </row>
    <row r="371" spans="19:25" x14ac:dyDescent="0.2">
      <c r="S371" s="131"/>
      <c r="T371" s="127"/>
      <c r="U371" s="127">
        <f>+(T364-1)*10+8</f>
        <v>308</v>
      </c>
      <c r="V371" s="128" t="s">
        <v>237</v>
      </c>
      <c r="W371" s="129"/>
      <c r="X371" s="129"/>
      <c r="Y371" s="130"/>
    </row>
    <row r="372" spans="19:25" x14ac:dyDescent="0.2">
      <c r="S372" s="131"/>
      <c r="T372" s="127"/>
      <c r="U372" s="127">
        <f>+(T364-1)*10+9</f>
        <v>309</v>
      </c>
      <c r="V372" s="128" t="s">
        <v>238</v>
      </c>
      <c r="W372" s="129">
        <f>VLOOKUP(S364,$B$3:$M$63,9,FALSE)</f>
        <v>34.494526010300362</v>
      </c>
      <c r="X372" s="129">
        <f>VLOOKUP(S364,$B$3:$M$63,12,FALSE)</f>
        <v>2.9313418707831693</v>
      </c>
      <c r="Y372" s="130">
        <v>0</v>
      </c>
    </row>
    <row r="373" spans="19:25" x14ac:dyDescent="0.2">
      <c r="T373" s="132"/>
      <c r="U373" s="127">
        <f>+(T364-1)*10+10</f>
        <v>310</v>
      </c>
      <c r="V373" s="123" t="s">
        <v>324</v>
      </c>
      <c r="W373" s="133">
        <f>SUM(W364:W372)</f>
        <v>187.45095549493823</v>
      </c>
      <c r="X373" s="133">
        <f>SUM(X364:X372)</f>
        <v>59.21310578982002</v>
      </c>
      <c r="Y373" s="125">
        <v>0</v>
      </c>
    </row>
    <row r="374" spans="19:25" x14ac:dyDescent="0.2">
      <c r="T374" s="132"/>
      <c r="U374" s="132"/>
      <c r="V374" s="132"/>
      <c r="W374" s="132"/>
      <c r="X374" s="132"/>
      <c r="Y374" s="132"/>
    </row>
    <row r="375" spans="19:25" x14ac:dyDescent="0.2">
      <c r="S375" s="122"/>
      <c r="T375" s="122"/>
      <c r="U375" s="122"/>
      <c r="V375" s="123" t="s">
        <v>227</v>
      </c>
      <c r="W375" s="124" t="s">
        <v>228</v>
      </c>
      <c r="X375" s="124" t="s">
        <v>229</v>
      </c>
      <c r="Y375" s="125" t="s">
        <v>239</v>
      </c>
    </row>
    <row r="376" spans="19:25" ht="45" x14ac:dyDescent="0.2">
      <c r="S376" s="126" t="str">
        <f>VLOOKUP(T376,$A$3:$P$63,2,FALSE)</f>
        <v>Distribution and storage</v>
      </c>
      <c r="T376" s="127">
        <f>+T364+1</f>
        <v>32</v>
      </c>
      <c r="U376" s="127">
        <f>+(T376-1)*10+1</f>
        <v>311</v>
      </c>
      <c r="V376" s="128" t="s">
        <v>230</v>
      </c>
      <c r="W376" s="129">
        <f>VLOOKUP(S376,$B$3:$M$63,2,FALSE)</f>
        <v>15.372152306506878</v>
      </c>
      <c r="X376" s="129">
        <f>VLOOKUP(S376,$B$3:$M$63,10,FALSE)</f>
        <v>117.71649941491394</v>
      </c>
      <c r="Y376" s="130">
        <v>0</v>
      </c>
    </row>
    <row r="377" spans="19:25" x14ac:dyDescent="0.2">
      <c r="S377" s="131"/>
      <c r="T377" s="127"/>
      <c r="U377" s="127">
        <f>+(T376-1)*10+2</f>
        <v>312</v>
      </c>
      <c r="V377" s="128" t="s">
        <v>314</v>
      </c>
      <c r="W377" s="129">
        <f>VLOOKUP(S376,$B$3:$M$63,3,FALSE)</f>
        <v>1.0142439441979234</v>
      </c>
      <c r="X377" s="129"/>
      <c r="Y377" s="130">
        <v>0</v>
      </c>
    </row>
    <row r="378" spans="19:25" x14ac:dyDescent="0.2">
      <c r="S378" s="131"/>
      <c r="T378" s="127"/>
      <c r="U378" s="127">
        <f>+(T376-1)*10+3</f>
        <v>313</v>
      </c>
      <c r="V378" s="128" t="s">
        <v>232</v>
      </c>
      <c r="W378" s="129">
        <f>VLOOKUP(S376,$B$3:$M$63,4,FALSE)</f>
        <v>2.6439984184024117</v>
      </c>
      <c r="X378" s="129"/>
      <c r="Y378" s="130">
        <v>0</v>
      </c>
    </row>
    <row r="379" spans="19:25" x14ac:dyDescent="0.2">
      <c r="S379" s="131"/>
      <c r="T379" s="127"/>
      <c r="U379" s="127">
        <f>+(T376-1)*10+4</f>
        <v>314</v>
      </c>
      <c r="V379" s="128" t="s">
        <v>317</v>
      </c>
      <c r="W379" s="129">
        <f>VLOOKUP(S376,$B$3:$M$63,5,FALSE)</f>
        <v>1.4021805680155623</v>
      </c>
      <c r="X379" s="129"/>
      <c r="Y379" s="130">
        <v>0</v>
      </c>
    </row>
    <row r="380" spans="19:25" x14ac:dyDescent="0.2">
      <c r="S380" s="131"/>
      <c r="T380" s="127"/>
      <c r="U380" s="127">
        <f>+(T376-1)*10+5</f>
        <v>315</v>
      </c>
      <c r="V380" s="128" t="s">
        <v>234</v>
      </c>
      <c r="W380" s="129">
        <f>VLOOKUP(S376,$B$3:$M$63,6,FALSE)</f>
        <v>2.0284411490435801</v>
      </c>
      <c r="X380" s="129"/>
      <c r="Y380" s="130">
        <v>0</v>
      </c>
    </row>
    <row r="381" spans="19:25" x14ac:dyDescent="0.2">
      <c r="S381" s="131"/>
      <c r="T381" s="127"/>
      <c r="U381" s="127">
        <f>+(T376-1)*10+6</f>
        <v>316</v>
      </c>
      <c r="V381" s="128" t="s">
        <v>235</v>
      </c>
      <c r="W381" s="129">
        <f>VLOOKUP(S376,$B$3:$M$63,7,FALSE)</f>
        <v>0.59162672099803293</v>
      </c>
      <c r="X381" s="129"/>
      <c r="Y381" s="130">
        <v>0</v>
      </c>
    </row>
    <row r="382" spans="19:25" x14ac:dyDescent="0.2">
      <c r="S382" s="131"/>
      <c r="T382" s="127"/>
      <c r="U382" s="127">
        <f>+(T376-1)*10+7</f>
        <v>317</v>
      </c>
      <c r="V382" s="128" t="s">
        <v>236</v>
      </c>
      <c r="W382" s="129">
        <f>VLOOKUP(S376,$B$3:$M$63,8,FALSE)</f>
        <v>22.567675588040068</v>
      </c>
      <c r="X382" s="129">
        <f>VLOOKUP(S376,$B$3:$M$63,11,FALSE)</f>
        <v>15.363163603935142</v>
      </c>
      <c r="Y382" s="130">
        <v>0</v>
      </c>
    </row>
    <row r="383" spans="19:25" x14ac:dyDescent="0.2">
      <c r="S383" s="131"/>
      <c r="T383" s="127"/>
      <c r="U383" s="127">
        <f>+(T376-1)*10+8</f>
        <v>318</v>
      </c>
      <c r="V383" s="128" t="s">
        <v>237</v>
      </c>
      <c r="W383" s="129"/>
      <c r="X383" s="129"/>
      <c r="Y383" s="130"/>
    </row>
    <row r="384" spans="19:25" x14ac:dyDescent="0.2">
      <c r="S384" s="131"/>
      <c r="T384" s="127"/>
      <c r="U384" s="127">
        <f>+(T376-1)*10+9</f>
        <v>319</v>
      </c>
      <c r="V384" s="128" t="s">
        <v>238</v>
      </c>
      <c r="W384" s="129">
        <f>VLOOKUP(S376,$B$3:$M$63,9,FALSE)</f>
        <v>15.469276680518091</v>
      </c>
      <c r="X384" s="129">
        <f>VLOOKUP(S376,$B$3:$M$63,12,FALSE)</f>
        <v>2.9058861140988803</v>
      </c>
      <c r="Y384" s="130">
        <v>0</v>
      </c>
    </row>
    <row r="385" spans="19:25" x14ac:dyDescent="0.2">
      <c r="T385" s="132"/>
      <c r="U385" s="127">
        <f>+(T376-1)*10+10</f>
        <v>320</v>
      </c>
      <c r="V385" s="123" t="s">
        <v>324</v>
      </c>
      <c r="W385" s="133">
        <f>SUM(W376:W384)</f>
        <v>61.089595375722553</v>
      </c>
      <c r="X385" s="133">
        <f>SUM(X376:X384)</f>
        <v>135.98554913294797</v>
      </c>
      <c r="Y385" s="125">
        <v>0</v>
      </c>
    </row>
    <row r="386" spans="19:25" x14ac:dyDescent="0.2">
      <c r="T386" s="132"/>
      <c r="U386" s="132"/>
      <c r="V386" s="132"/>
      <c r="W386" s="132"/>
      <c r="X386" s="132"/>
      <c r="Y386" s="132"/>
    </row>
    <row r="387" spans="19:25" x14ac:dyDescent="0.2">
      <c r="S387" s="122"/>
      <c r="T387" s="122"/>
      <c r="U387" s="122"/>
      <c r="V387" s="123" t="s">
        <v>227</v>
      </c>
      <c r="W387" s="124" t="s">
        <v>228</v>
      </c>
      <c r="X387" s="124" t="s">
        <v>229</v>
      </c>
      <c r="Y387" s="125" t="s">
        <v>239</v>
      </c>
    </row>
    <row r="388" spans="19:25" ht="45" x14ac:dyDescent="0.2">
      <c r="S388" s="126" t="str">
        <f>VLOOKUP(T388,$A$3:$P$63,2,FALSE)</f>
        <v>General manufacturing</v>
      </c>
      <c r="T388" s="127">
        <f>+T376+1</f>
        <v>33</v>
      </c>
      <c r="U388" s="127">
        <f>+(T388-1)*10+1</f>
        <v>321</v>
      </c>
      <c r="V388" s="128" t="s">
        <v>230</v>
      </c>
      <c r="W388" s="129">
        <f>VLOOKUP(S388,$B$3:$M$63,2,FALSE)</f>
        <v>0</v>
      </c>
      <c r="X388" s="129">
        <f>VLOOKUP(S388,$B$3:$M$63,10,FALSE)</f>
        <v>95</v>
      </c>
      <c r="Y388" s="130">
        <v>0</v>
      </c>
    </row>
    <row r="389" spans="19:25" x14ac:dyDescent="0.2">
      <c r="S389" s="131"/>
      <c r="T389" s="127"/>
      <c r="U389" s="127">
        <f>+(T388-1)*10+2</f>
        <v>322</v>
      </c>
      <c r="V389" s="128" t="s">
        <v>314</v>
      </c>
      <c r="W389" s="129">
        <f>VLOOKUP(S388,$B$3:$M$63,3,FALSE)</f>
        <v>2</v>
      </c>
      <c r="X389" s="129"/>
      <c r="Y389" s="130">
        <v>0</v>
      </c>
    </row>
    <row r="390" spans="19:25" x14ac:dyDescent="0.2">
      <c r="S390" s="131"/>
      <c r="T390" s="127"/>
      <c r="U390" s="127">
        <f>+(T388-1)*10+3</f>
        <v>323</v>
      </c>
      <c r="V390" s="128" t="s">
        <v>232</v>
      </c>
      <c r="W390" s="129">
        <f>VLOOKUP(S388,$B$3:$M$63,4,FALSE)</f>
        <v>2.1818181818181817</v>
      </c>
      <c r="X390" s="129"/>
      <c r="Y390" s="130">
        <v>0</v>
      </c>
    </row>
    <row r="391" spans="19:25" x14ac:dyDescent="0.2">
      <c r="S391" s="131"/>
      <c r="T391" s="127"/>
      <c r="U391" s="127">
        <f>+(T388-1)*10+4</f>
        <v>324</v>
      </c>
      <c r="V391" s="128" t="s">
        <v>317</v>
      </c>
      <c r="W391" s="129">
        <f>VLOOKUP(S388,$B$3:$M$63,5,FALSE)</f>
        <v>1.8181818181818181</v>
      </c>
      <c r="X391" s="129"/>
      <c r="Y391" s="130">
        <v>0</v>
      </c>
    </row>
    <row r="392" spans="19:25" x14ac:dyDescent="0.2">
      <c r="S392" s="131"/>
      <c r="T392" s="127"/>
      <c r="U392" s="127">
        <f>+(T388-1)*10+5</f>
        <v>325</v>
      </c>
      <c r="V392" s="128" t="s">
        <v>234</v>
      </c>
      <c r="W392" s="129">
        <f>VLOOKUP(S388,$B$3:$M$63,6,FALSE)</f>
        <v>7</v>
      </c>
      <c r="X392" s="129"/>
      <c r="Y392" s="130">
        <v>0</v>
      </c>
    </row>
    <row r="393" spans="19:25" x14ac:dyDescent="0.2">
      <c r="S393" s="131"/>
      <c r="T393" s="127"/>
      <c r="U393" s="127">
        <f>+(T388-1)*10+6</f>
        <v>326</v>
      </c>
      <c r="V393" s="128" t="s">
        <v>235</v>
      </c>
      <c r="W393" s="129">
        <f>VLOOKUP(S388,$B$3:$M$63,7,FALSE)</f>
        <v>1</v>
      </c>
      <c r="X393" s="129"/>
      <c r="Y393" s="130">
        <v>0</v>
      </c>
    </row>
    <row r="394" spans="19:25" x14ac:dyDescent="0.2">
      <c r="S394" s="131"/>
      <c r="T394" s="127"/>
      <c r="U394" s="127">
        <f>+(T388-1)*10+7</f>
        <v>327</v>
      </c>
      <c r="V394" s="128" t="s">
        <v>236</v>
      </c>
      <c r="W394" s="129">
        <f>VLOOKUP(S388,$B$3:$M$63,8,FALSE)</f>
        <v>45</v>
      </c>
      <c r="X394" s="129">
        <f>VLOOKUP(S388,$B$3:$M$63,11,FALSE)</f>
        <v>1</v>
      </c>
      <c r="Y394" s="130">
        <v>0</v>
      </c>
    </row>
    <row r="395" spans="19:25" x14ac:dyDescent="0.2">
      <c r="S395" s="131"/>
      <c r="T395" s="127"/>
      <c r="U395" s="127">
        <f>+(T388-1)*10+8</f>
        <v>328</v>
      </c>
      <c r="V395" s="128" t="s">
        <v>237</v>
      </c>
      <c r="W395" s="129"/>
      <c r="X395" s="129"/>
      <c r="Y395" s="130"/>
    </row>
    <row r="396" spans="19:25" x14ac:dyDescent="0.2">
      <c r="S396" s="131"/>
      <c r="T396" s="127"/>
      <c r="U396" s="127">
        <f>+(T388-1)*10+9</f>
        <v>329</v>
      </c>
      <c r="V396" s="128" t="s">
        <v>238</v>
      </c>
      <c r="W396" s="129">
        <f>VLOOKUP(S388,$B$3:$M$63,9,FALSE)</f>
        <v>15</v>
      </c>
      <c r="X396" s="129">
        <f>VLOOKUP(S388,$B$3:$M$63,12,FALSE)</f>
        <v>1</v>
      </c>
      <c r="Y396" s="130">
        <v>0</v>
      </c>
    </row>
    <row r="397" spans="19:25" x14ac:dyDescent="0.2">
      <c r="T397" s="132"/>
      <c r="U397" s="127">
        <f>+(T388-1)*10+10</f>
        <v>330</v>
      </c>
      <c r="V397" s="123" t="s">
        <v>324</v>
      </c>
      <c r="W397" s="133">
        <f>SUM(W388:W396)</f>
        <v>74</v>
      </c>
      <c r="X397" s="133">
        <f>SUM(X388:X396)</f>
        <v>97</v>
      </c>
      <c r="Y397" s="125">
        <v>0</v>
      </c>
    </row>
    <row r="398" spans="19:25" x14ac:dyDescent="0.2">
      <c r="T398" s="132"/>
      <c r="U398" s="132"/>
      <c r="V398" s="132"/>
      <c r="W398" s="132"/>
      <c r="X398" s="132"/>
      <c r="Y398" s="132"/>
    </row>
    <row r="399" spans="19:25" x14ac:dyDescent="0.2">
      <c r="S399" s="122"/>
      <c r="T399" s="122"/>
      <c r="U399" s="122"/>
      <c r="V399" s="123" t="s">
        <v>227</v>
      </c>
      <c r="W399" s="124" t="s">
        <v>228</v>
      </c>
      <c r="X399" s="124" t="s">
        <v>229</v>
      </c>
      <c r="Y399" s="125" t="s">
        <v>239</v>
      </c>
    </row>
    <row r="400" spans="19:25" ht="45" x14ac:dyDescent="0.2">
      <c r="S400" s="126" t="str">
        <f>VLOOKUP(T400,$A$3:$P$63,2,FALSE)</f>
        <v>Light manufacturing</v>
      </c>
      <c r="T400" s="127">
        <f>+T388+1</f>
        <v>34</v>
      </c>
      <c r="U400" s="127">
        <f>+(T400-1)*10+1</f>
        <v>331</v>
      </c>
      <c r="V400" s="128" t="s">
        <v>230</v>
      </c>
      <c r="W400" s="129">
        <f>VLOOKUP(S400,$B$3:$M$63,2,FALSE)</f>
        <v>0</v>
      </c>
      <c r="X400" s="129">
        <f>VLOOKUP(S400,$B$3:$M$63,10,FALSE)</f>
        <v>165.99324179229035</v>
      </c>
      <c r="Y400" s="130">
        <v>0</v>
      </c>
    </row>
    <row r="401" spans="19:25" x14ac:dyDescent="0.2">
      <c r="S401" s="131"/>
      <c r="T401" s="127"/>
      <c r="U401" s="127">
        <f>+(T400-1)*10+2</f>
        <v>332</v>
      </c>
      <c r="V401" s="128" t="s">
        <v>314</v>
      </c>
      <c r="W401" s="129">
        <f>VLOOKUP(S400,$B$3:$M$63,3,FALSE)</f>
        <v>10.495205591126091</v>
      </c>
      <c r="X401" s="129"/>
      <c r="Y401" s="130">
        <v>0</v>
      </c>
    </row>
    <row r="402" spans="19:25" x14ac:dyDescent="0.2">
      <c r="S402" s="131"/>
      <c r="T402" s="127"/>
      <c r="U402" s="127">
        <f>+(T400-1)*10+3</f>
        <v>333</v>
      </c>
      <c r="V402" s="128" t="s">
        <v>232</v>
      </c>
      <c r="W402" s="129">
        <f>VLOOKUP(S400,$B$3:$M$63,4,FALSE)</f>
        <v>1.7492009318543484</v>
      </c>
      <c r="X402" s="129"/>
      <c r="Y402" s="130">
        <v>0</v>
      </c>
    </row>
    <row r="403" spans="19:25" x14ac:dyDescent="0.2">
      <c r="S403" s="131"/>
      <c r="T403" s="127"/>
      <c r="U403" s="127">
        <f>+(T400-1)*10+4</f>
        <v>334</v>
      </c>
      <c r="V403" s="128" t="s">
        <v>317</v>
      </c>
      <c r="W403" s="129">
        <f>VLOOKUP(S400,$B$3:$M$63,5,FALSE)</f>
        <v>1.7492009318543484</v>
      </c>
      <c r="X403" s="129"/>
      <c r="Y403" s="130">
        <v>0</v>
      </c>
    </row>
    <row r="404" spans="19:25" x14ac:dyDescent="0.2">
      <c r="S404" s="131"/>
      <c r="T404" s="127"/>
      <c r="U404" s="127">
        <f>+(T400-1)*10+5</f>
        <v>335</v>
      </c>
      <c r="V404" s="128" t="s">
        <v>234</v>
      </c>
      <c r="W404" s="129">
        <f>VLOOKUP(S400,$B$3:$M$63,6,FALSE)</f>
        <v>1.7492009318543484</v>
      </c>
      <c r="X404" s="129"/>
      <c r="Y404" s="130">
        <v>0</v>
      </c>
    </row>
    <row r="405" spans="19:25" x14ac:dyDescent="0.2">
      <c r="S405" s="131"/>
      <c r="T405" s="127"/>
      <c r="U405" s="127">
        <f>+(T400-1)*10+6</f>
        <v>336</v>
      </c>
      <c r="V405" s="128" t="s">
        <v>235</v>
      </c>
      <c r="W405" s="129">
        <f>VLOOKUP(S400,$B$3:$M$63,7,FALSE)</f>
        <v>1.7492009318543484</v>
      </c>
      <c r="X405" s="129"/>
      <c r="Y405" s="130">
        <v>0</v>
      </c>
    </row>
    <row r="406" spans="19:25" x14ac:dyDescent="0.2">
      <c r="S406" s="131"/>
      <c r="T406" s="127"/>
      <c r="U406" s="127">
        <f>+(T400-1)*10+7</f>
        <v>337</v>
      </c>
      <c r="V406" s="128" t="s">
        <v>236</v>
      </c>
      <c r="W406" s="129">
        <f>VLOOKUP(S400,$B$3:$M$63,8,FALSE)</f>
        <v>45.479224228213063</v>
      </c>
      <c r="X406" s="129">
        <f>VLOOKUP(S400,$B$3:$M$63,11,FALSE)</f>
        <v>3.1921777267748142</v>
      </c>
      <c r="Y406" s="130">
        <v>0</v>
      </c>
    </row>
    <row r="407" spans="19:25" x14ac:dyDescent="0.2">
      <c r="S407" s="131"/>
      <c r="T407" s="127"/>
      <c r="U407" s="127">
        <f>+(T400-1)*10+8</f>
        <v>338</v>
      </c>
      <c r="V407" s="128" t="s">
        <v>237</v>
      </c>
      <c r="W407" s="129"/>
      <c r="X407" s="129"/>
      <c r="Y407" s="130"/>
    </row>
    <row r="408" spans="19:25" x14ac:dyDescent="0.2">
      <c r="S408" s="131"/>
      <c r="T408" s="127"/>
      <c r="U408" s="127">
        <f>+(T400-1)*10+9</f>
        <v>339</v>
      </c>
      <c r="V408" s="128" t="s">
        <v>238</v>
      </c>
      <c r="W408" s="129">
        <f>VLOOKUP(S400,$B$3:$M$63,9,FALSE)</f>
        <v>19.241210250397835</v>
      </c>
      <c r="X408" s="129">
        <f>VLOOKUP(S400,$B$3:$M$63,12,FALSE)</f>
        <v>0</v>
      </c>
      <c r="Y408" s="130">
        <v>0</v>
      </c>
    </row>
    <row r="409" spans="19:25" x14ac:dyDescent="0.2">
      <c r="T409" s="132"/>
      <c r="U409" s="127">
        <f>+(T400-1)*10+10</f>
        <v>340</v>
      </c>
      <c r="V409" s="123" t="s">
        <v>324</v>
      </c>
      <c r="W409" s="133">
        <f>SUM(W400:W408)</f>
        <v>82.212443797154378</v>
      </c>
      <c r="X409" s="133">
        <f>SUM(X400:X408)</f>
        <v>169.18541951906516</v>
      </c>
      <c r="Y409" s="125">
        <v>0</v>
      </c>
    </row>
    <row r="410" spans="19:25" x14ac:dyDescent="0.2">
      <c r="T410" s="132"/>
      <c r="U410" s="132"/>
      <c r="V410" s="132"/>
      <c r="W410" s="132"/>
      <c r="X410" s="132"/>
      <c r="Y410" s="132"/>
    </row>
    <row r="411" spans="19:25" x14ac:dyDescent="0.2">
      <c r="S411" s="122"/>
      <c r="T411" s="122"/>
      <c r="U411" s="122"/>
      <c r="V411" s="123" t="s">
        <v>227</v>
      </c>
      <c r="W411" s="124" t="s">
        <v>228</v>
      </c>
      <c r="X411" s="124" t="s">
        <v>229</v>
      </c>
      <c r="Y411" s="125" t="s">
        <v>239</v>
      </c>
    </row>
    <row r="412" spans="19:25" ht="60" x14ac:dyDescent="0.2">
      <c r="S412" s="126" t="str">
        <f>VLOOKUP(T412,$A$3:$P$63,2,FALSE)</f>
        <v>Industrial asset common areas*</v>
      </c>
      <c r="T412" s="127">
        <f>+T400+1</f>
        <v>35</v>
      </c>
      <c r="U412" s="127">
        <f>+(T412-1)*10+1</f>
        <v>341</v>
      </c>
      <c r="V412" s="128" t="s">
        <v>230</v>
      </c>
      <c r="W412" s="129">
        <f>VLOOKUP(S412,$B$3:$M$63,2,FALSE)</f>
        <v>22.34911479818129</v>
      </c>
      <c r="X412" s="129">
        <f>VLOOKUP(S412,$B$3:$M$63,10,FALSE)</f>
        <v>45.142664810060808</v>
      </c>
      <c r="Y412" s="130">
        <v>0</v>
      </c>
    </row>
    <row r="413" spans="19:25" x14ac:dyDescent="0.2">
      <c r="S413" s="131"/>
      <c r="T413" s="127"/>
      <c r="U413" s="127">
        <f>+(T412-1)*10+2</f>
        <v>342</v>
      </c>
      <c r="V413" s="128" t="s">
        <v>314</v>
      </c>
      <c r="W413" s="129">
        <f>VLOOKUP(S412,$B$3:$M$63,3,FALSE)</f>
        <v>14.548269507323461</v>
      </c>
      <c r="X413" s="129"/>
      <c r="Y413" s="130">
        <v>0</v>
      </c>
    </row>
    <row r="414" spans="19:25" x14ac:dyDescent="0.2">
      <c r="S414" s="131"/>
      <c r="T414" s="127"/>
      <c r="U414" s="127">
        <f>+(T412-1)*10+3</f>
        <v>343</v>
      </c>
      <c r="V414" s="128" t="s">
        <v>232</v>
      </c>
      <c r="W414" s="129">
        <f>VLOOKUP(S412,$B$3:$M$63,4,FALSE)</f>
        <v>14.83080840971297</v>
      </c>
      <c r="X414" s="129"/>
      <c r="Y414" s="130">
        <v>0</v>
      </c>
    </row>
    <row r="415" spans="19:25" x14ac:dyDescent="0.2">
      <c r="S415" s="131"/>
      <c r="T415" s="127"/>
      <c r="U415" s="127">
        <f>+(T412-1)*10+4</f>
        <v>344</v>
      </c>
      <c r="V415" s="128" t="s">
        <v>317</v>
      </c>
      <c r="W415" s="129">
        <f>VLOOKUP(S412,$B$3:$M$63,5,FALSE)</f>
        <v>15.693391333931865</v>
      </c>
      <c r="X415" s="129"/>
      <c r="Y415" s="130">
        <v>0</v>
      </c>
    </row>
    <row r="416" spans="19:25" x14ac:dyDescent="0.2">
      <c r="S416" s="131"/>
      <c r="T416" s="127"/>
      <c r="U416" s="127">
        <f>+(T412-1)*10+5</f>
        <v>345</v>
      </c>
      <c r="V416" s="128" t="s">
        <v>234</v>
      </c>
      <c r="W416" s="129">
        <f>VLOOKUP(S412,$B$3:$M$63,6,FALSE)</f>
        <v>21.802999816889173</v>
      </c>
      <c r="X416" s="129"/>
      <c r="Y416" s="130">
        <v>0</v>
      </c>
    </row>
    <row r="417" spans="19:25" x14ac:dyDescent="0.2">
      <c r="S417" s="131"/>
      <c r="T417" s="127"/>
      <c r="U417" s="127">
        <f>+(T412-1)*10+6</f>
        <v>346</v>
      </c>
      <c r="V417" s="128" t="s">
        <v>235</v>
      </c>
      <c r="W417" s="129">
        <f>VLOOKUP(S412,$B$3:$M$63,7,FALSE)</f>
        <v>8.3857691603419902</v>
      </c>
      <c r="X417" s="129"/>
      <c r="Y417" s="130">
        <v>0</v>
      </c>
    </row>
    <row r="418" spans="19:25" x14ac:dyDescent="0.2">
      <c r="S418" s="131"/>
      <c r="T418" s="127"/>
      <c r="U418" s="127">
        <f>+(T412-1)*10+7</f>
        <v>347</v>
      </c>
      <c r="V418" s="128" t="s">
        <v>236</v>
      </c>
      <c r="W418" s="129">
        <f>VLOOKUP(S412,$B$3:$M$63,8,FALSE)</f>
        <v>55.34607645825713</v>
      </c>
      <c r="X418" s="129">
        <f>VLOOKUP(S412,$B$3:$M$63,11,FALSE)</f>
        <v>11.139099108976044</v>
      </c>
      <c r="Y418" s="130">
        <v>0</v>
      </c>
    </row>
    <row r="419" spans="19:25" x14ac:dyDescent="0.2">
      <c r="S419" s="131"/>
      <c r="T419" s="127"/>
      <c r="U419" s="127">
        <f>+(T412-1)*10+8</f>
        <v>348</v>
      </c>
      <c r="V419" s="128" t="s">
        <v>237</v>
      </c>
      <c r="W419" s="129"/>
      <c r="X419" s="129"/>
      <c r="Y419" s="130"/>
    </row>
    <row r="420" spans="19:25" x14ac:dyDescent="0.2">
      <c r="S420" s="131"/>
      <c r="T420" s="127"/>
      <c r="U420" s="127">
        <f>+(T412-1)*10+9</f>
        <v>349</v>
      </c>
      <c r="V420" s="128" t="s">
        <v>238</v>
      </c>
      <c r="W420" s="129">
        <f>VLOOKUP(S412,$B$3:$M$63,9,FALSE)</f>
        <v>34.494526010300362</v>
      </c>
      <c r="X420" s="129">
        <f>VLOOKUP(S412,$B$3:$M$63,12,FALSE)</f>
        <v>2.9313418707831693</v>
      </c>
      <c r="Y420" s="130">
        <v>0</v>
      </c>
    </row>
    <row r="421" spans="19:25" x14ac:dyDescent="0.2">
      <c r="T421" s="132"/>
      <c r="U421" s="127">
        <f>+(T412-1)*10+10</f>
        <v>350</v>
      </c>
      <c r="V421" s="123" t="s">
        <v>324</v>
      </c>
      <c r="W421" s="133">
        <f>SUM(W412:W420)</f>
        <v>187.45095549493823</v>
      </c>
      <c r="X421" s="133">
        <f>SUM(X412:X420)</f>
        <v>59.21310578982002</v>
      </c>
      <c r="Y421" s="125">
        <v>0</v>
      </c>
    </row>
    <row r="422" spans="19:25" x14ac:dyDescent="0.2">
      <c r="T422" s="132"/>
      <c r="U422" s="132"/>
      <c r="V422" s="132"/>
      <c r="W422" s="132"/>
      <c r="X422" s="132"/>
      <c r="Y422" s="132"/>
    </row>
    <row r="423" spans="19:25" x14ac:dyDescent="0.2">
      <c r="S423" s="122"/>
      <c r="T423" s="122"/>
      <c r="U423" s="122"/>
      <c r="V423" s="123" t="s">
        <v>227</v>
      </c>
      <c r="W423" s="124" t="s">
        <v>228</v>
      </c>
      <c r="X423" s="124" t="s">
        <v>229</v>
      </c>
      <c r="Y423" s="125" t="s">
        <v>239</v>
      </c>
    </row>
    <row r="424" spans="19:25" ht="30" x14ac:dyDescent="0.2">
      <c r="S424" s="126" t="str">
        <f>VLOOKUP(T424,$A$3:$P$63,2,FALSE)</f>
        <v>Cellular office</v>
      </c>
      <c r="T424" s="127">
        <f>+T412+1</f>
        <v>36</v>
      </c>
      <c r="U424" s="127">
        <f>+(T424-1)*10+1</f>
        <v>351</v>
      </c>
      <c r="V424" s="128" t="s">
        <v>230</v>
      </c>
      <c r="W424" s="129">
        <f>VLOOKUP(S424,$B$3:$M$63,2,FALSE)</f>
        <v>0</v>
      </c>
      <c r="X424" s="129">
        <f>VLOOKUP(S424,$B$3:$M$63,10,FALSE)</f>
        <v>119.38276453180471</v>
      </c>
      <c r="Y424" s="130">
        <v>0</v>
      </c>
    </row>
    <row r="425" spans="19:25" x14ac:dyDescent="0.2">
      <c r="S425" s="131"/>
      <c r="T425" s="127"/>
      <c r="U425" s="127">
        <f>+(T424-1)*10+2</f>
        <v>352</v>
      </c>
      <c r="V425" s="128" t="s">
        <v>314</v>
      </c>
      <c r="W425" s="129">
        <f>VLOOKUP(S424,$B$3:$M$63,3,FALSE)</f>
        <v>20.405281554585141</v>
      </c>
      <c r="X425" s="129"/>
      <c r="Y425" s="130">
        <v>0</v>
      </c>
    </row>
    <row r="426" spans="19:25" x14ac:dyDescent="0.2">
      <c r="S426" s="131"/>
      <c r="T426" s="127"/>
      <c r="U426" s="127">
        <f>+(T424-1)*10+3</f>
        <v>353</v>
      </c>
      <c r="V426" s="128" t="s">
        <v>232</v>
      </c>
      <c r="W426" s="129">
        <f>VLOOKUP(S424,$B$3:$M$63,4,FALSE)</f>
        <v>15.980562668353658</v>
      </c>
      <c r="X426" s="129"/>
      <c r="Y426" s="130">
        <v>0</v>
      </c>
    </row>
    <row r="427" spans="19:25" x14ac:dyDescent="0.2">
      <c r="S427" s="131"/>
      <c r="T427" s="127"/>
      <c r="U427" s="127">
        <f>+(T424-1)*10+4</f>
        <v>354</v>
      </c>
      <c r="V427" s="128" t="s">
        <v>317</v>
      </c>
      <c r="W427" s="129">
        <f>VLOOKUP(S424,$B$3:$M$63,5,FALSE)</f>
        <v>8.5057751971485125</v>
      </c>
      <c r="X427" s="129"/>
      <c r="Y427" s="130">
        <v>0</v>
      </c>
    </row>
    <row r="428" spans="19:25" x14ac:dyDescent="0.2">
      <c r="S428" s="131"/>
      <c r="T428" s="127"/>
      <c r="U428" s="127">
        <f>+(T424-1)*10+5</f>
        <v>355</v>
      </c>
      <c r="V428" s="128" t="s">
        <v>234</v>
      </c>
      <c r="W428" s="129">
        <f>VLOOKUP(S424,$B$3:$M$63,6,FALSE)</f>
        <v>16.32422524366811</v>
      </c>
      <c r="X428" s="129"/>
      <c r="Y428" s="130">
        <v>0</v>
      </c>
    </row>
    <row r="429" spans="19:25" x14ac:dyDescent="0.2">
      <c r="S429" s="131"/>
      <c r="T429" s="127"/>
      <c r="U429" s="127">
        <f>+(T424-1)*10+6</f>
        <v>356</v>
      </c>
      <c r="V429" s="128" t="s">
        <v>235</v>
      </c>
      <c r="W429" s="129">
        <f>VLOOKUP(S424,$B$3:$M$63,7,FALSE)</f>
        <v>6.8017605181950467</v>
      </c>
      <c r="X429" s="129"/>
      <c r="Y429" s="130">
        <v>0</v>
      </c>
    </row>
    <row r="430" spans="19:25" x14ac:dyDescent="0.2">
      <c r="S430" s="131"/>
      <c r="T430" s="127"/>
      <c r="U430" s="127">
        <f>+(T424-1)*10+7</f>
        <v>357</v>
      </c>
      <c r="V430" s="128" t="s">
        <v>236</v>
      </c>
      <c r="W430" s="129">
        <f>VLOOKUP(S424,$B$3:$M$63,8,FALSE)</f>
        <v>29.927746280058209</v>
      </c>
      <c r="X430" s="129">
        <f>VLOOKUP(S424,$B$3:$M$63,11,FALSE)</f>
        <v>9.4748225818892617</v>
      </c>
      <c r="Y430" s="130">
        <v>0</v>
      </c>
    </row>
    <row r="431" spans="19:25" x14ac:dyDescent="0.2">
      <c r="S431" s="131"/>
      <c r="T431" s="127"/>
      <c r="U431" s="127">
        <f>+(T424-1)*10+8</f>
        <v>358</v>
      </c>
      <c r="V431" s="128" t="s">
        <v>237</v>
      </c>
      <c r="W431" s="129"/>
      <c r="X431" s="129"/>
      <c r="Y431" s="130"/>
    </row>
    <row r="432" spans="19:25" x14ac:dyDescent="0.2">
      <c r="S432" s="131"/>
      <c r="T432" s="127"/>
      <c r="U432" s="127">
        <f>+(T424-1)*10+9</f>
        <v>359</v>
      </c>
      <c r="V432" s="128" t="s">
        <v>238</v>
      </c>
      <c r="W432" s="129">
        <f>VLOOKUP(S424,$B$3:$M$63,9,FALSE)</f>
        <v>0</v>
      </c>
      <c r="X432" s="129">
        <f>VLOOKUP(S424,$B$3:$M$63,12,FALSE)</f>
        <v>3.7899290327557047</v>
      </c>
      <c r="Y432" s="130">
        <v>0</v>
      </c>
    </row>
    <row r="433" spans="19:25" x14ac:dyDescent="0.2">
      <c r="T433" s="132"/>
      <c r="U433" s="127">
        <f>+(T424-1)*10+10</f>
        <v>360</v>
      </c>
      <c r="V433" s="123" t="s">
        <v>324</v>
      </c>
      <c r="W433" s="133">
        <f>SUM(W424:W432)</f>
        <v>97.945351462008688</v>
      </c>
      <c r="X433" s="133">
        <f>SUM(X424:X432)</f>
        <v>132.64751614644968</v>
      </c>
      <c r="Y433" s="125">
        <v>0</v>
      </c>
    </row>
    <row r="434" spans="19:25" x14ac:dyDescent="0.2">
      <c r="T434" s="132"/>
      <c r="U434" s="132"/>
      <c r="V434" s="132"/>
      <c r="W434" s="132"/>
      <c r="X434" s="132"/>
      <c r="Y434" s="132"/>
    </row>
    <row r="435" spans="19:25" x14ac:dyDescent="0.2">
      <c r="S435" s="122"/>
      <c r="T435" s="122"/>
      <c r="U435" s="122"/>
      <c r="V435" s="123" t="s">
        <v>227</v>
      </c>
      <c r="W435" s="124" t="s">
        <v>228</v>
      </c>
      <c r="X435" s="124" t="s">
        <v>229</v>
      </c>
      <c r="Y435" s="125" t="s">
        <v>239</v>
      </c>
    </row>
    <row r="436" spans="19:25" ht="30" x14ac:dyDescent="0.2">
      <c r="S436" s="126" t="str">
        <f>VLOOKUP(T436,$A$3:$P$63,2,FALSE)</f>
        <v>Open plan office</v>
      </c>
      <c r="T436" s="127">
        <f>+T424+1</f>
        <v>37</v>
      </c>
      <c r="U436" s="127">
        <f>+(T436-1)*10+1</f>
        <v>361</v>
      </c>
      <c r="V436" s="128" t="s">
        <v>230</v>
      </c>
      <c r="W436" s="129">
        <f>VLOOKUP(S436,$B$3:$M$63,2,FALSE)</f>
        <v>9.6690139269009112</v>
      </c>
      <c r="X436" s="129">
        <f>VLOOKUP(S436,$B$3:$M$63,10,FALSE)</f>
        <v>118.89547055738332</v>
      </c>
      <c r="Y436" s="130">
        <v>0</v>
      </c>
    </row>
    <row r="437" spans="19:25" x14ac:dyDescent="0.2">
      <c r="S437" s="131"/>
      <c r="T437" s="127"/>
      <c r="U437" s="127">
        <f>+(T436-1)*10+2</f>
        <v>362</v>
      </c>
      <c r="V437" s="128" t="s">
        <v>314</v>
      </c>
      <c r="W437" s="129">
        <f>VLOOKUP(S436,$B$3:$M$63,3,FALSE)</f>
        <v>10.743436716585178</v>
      </c>
      <c r="X437" s="129"/>
      <c r="Y437" s="130">
        <v>0</v>
      </c>
    </row>
    <row r="438" spans="19:25" x14ac:dyDescent="0.2">
      <c r="S438" s="131"/>
      <c r="T438" s="127"/>
      <c r="U438" s="127">
        <f>+(T436-1)*10+3</f>
        <v>363</v>
      </c>
      <c r="V438" s="128" t="s">
        <v>232</v>
      </c>
      <c r="W438" s="129">
        <f>VLOOKUP(S436,$B$3:$M$63,4,FALSE)</f>
        <v>11.89752372785305</v>
      </c>
      <c r="X438" s="129"/>
      <c r="Y438" s="130">
        <v>0</v>
      </c>
    </row>
    <row r="439" spans="19:25" x14ac:dyDescent="0.2">
      <c r="S439" s="131"/>
      <c r="T439" s="127"/>
      <c r="U439" s="127">
        <f>+(T436-1)*10+4</f>
        <v>364</v>
      </c>
      <c r="V439" s="128" t="s">
        <v>317</v>
      </c>
      <c r="W439" s="129">
        <f>VLOOKUP(S436,$B$3:$M$63,5,FALSE)</f>
        <v>12.597417044330257</v>
      </c>
      <c r="X439" s="129"/>
      <c r="Y439" s="130">
        <v>0</v>
      </c>
    </row>
    <row r="440" spans="19:25" x14ac:dyDescent="0.2">
      <c r="S440" s="131"/>
      <c r="T440" s="127"/>
      <c r="U440" s="127">
        <f>+(T436-1)*10+5</f>
        <v>365</v>
      </c>
      <c r="V440" s="128" t="s">
        <v>234</v>
      </c>
      <c r="W440" s="129">
        <f>VLOOKUP(S436,$B$3:$M$63,6,FALSE)</f>
        <v>16.329960514788873</v>
      </c>
      <c r="X440" s="129"/>
      <c r="Y440" s="130">
        <v>0</v>
      </c>
    </row>
    <row r="441" spans="19:25" x14ac:dyDescent="0.2">
      <c r="S441" s="131"/>
      <c r="T441" s="127"/>
      <c r="U441" s="127">
        <f>+(T436-1)*10+6</f>
        <v>366</v>
      </c>
      <c r="V441" s="128" t="s">
        <v>235</v>
      </c>
      <c r="W441" s="129">
        <f>VLOOKUP(S436,$B$3:$M$63,7,FALSE)</f>
        <v>6.8041502144953636</v>
      </c>
      <c r="X441" s="129"/>
      <c r="Y441" s="130">
        <v>0</v>
      </c>
    </row>
    <row r="442" spans="19:25" x14ac:dyDescent="0.2">
      <c r="S442" s="131"/>
      <c r="T442" s="127"/>
      <c r="U442" s="127">
        <f>+(T436-1)*10+7</f>
        <v>367</v>
      </c>
      <c r="V442" s="128" t="s">
        <v>236</v>
      </c>
      <c r="W442" s="129">
        <f>VLOOKUP(S436,$B$3:$M$63,8,FALSE)</f>
        <v>29.938260943779603</v>
      </c>
      <c r="X442" s="129">
        <f>VLOOKUP(S436,$B$3:$M$63,11,FALSE)</f>
        <v>9.4361484569351841</v>
      </c>
      <c r="Y442" s="130">
        <v>0</v>
      </c>
    </row>
    <row r="443" spans="19:25" x14ac:dyDescent="0.2">
      <c r="S443" s="131"/>
      <c r="T443" s="127"/>
      <c r="U443" s="127">
        <f>+(T436-1)*10+8</f>
        <v>368</v>
      </c>
      <c r="V443" s="128" t="s">
        <v>237</v>
      </c>
      <c r="W443" s="129"/>
      <c r="X443" s="129"/>
      <c r="Y443" s="130"/>
    </row>
    <row r="444" spans="19:25" x14ac:dyDescent="0.2">
      <c r="S444" s="131"/>
      <c r="T444" s="127"/>
      <c r="U444" s="127">
        <f>+(T436-1)*10+9</f>
        <v>369</v>
      </c>
      <c r="V444" s="128" t="s">
        <v>238</v>
      </c>
      <c r="W444" s="129">
        <f>VLOOKUP(S436,$B$3:$M$63,9,FALSE)</f>
        <v>0</v>
      </c>
      <c r="X444" s="129">
        <f>VLOOKUP(S436,$B$3:$M$63,12,FALSE)</f>
        <v>3.7744593827740736</v>
      </c>
      <c r="Y444" s="130">
        <v>0</v>
      </c>
    </row>
    <row r="445" spans="19:25" x14ac:dyDescent="0.2">
      <c r="T445" s="132"/>
      <c r="U445" s="127">
        <f>+(T436-1)*10+10</f>
        <v>370</v>
      </c>
      <c r="V445" s="123" t="s">
        <v>324</v>
      </c>
      <c r="W445" s="133">
        <f>SUM(W436:W444)</f>
        <v>97.979763088733222</v>
      </c>
      <c r="X445" s="133">
        <f>SUM(X436:X444)</f>
        <v>132.10607839709257</v>
      </c>
      <c r="Y445" s="125">
        <v>0</v>
      </c>
    </row>
    <row r="446" spans="19:25" x14ac:dyDescent="0.2">
      <c r="T446" s="132"/>
      <c r="U446" s="132"/>
      <c r="V446" s="132"/>
      <c r="W446" s="132"/>
      <c r="X446" s="132"/>
      <c r="Y446" s="132"/>
    </row>
    <row r="447" spans="19:25" x14ac:dyDescent="0.2">
      <c r="S447" s="122"/>
      <c r="T447" s="122"/>
      <c r="U447" s="122"/>
      <c r="V447" s="123" t="s">
        <v>227</v>
      </c>
      <c r="W447" s="124" t="s">
        <v>228</v>
      </c>
      <c r="X447" s="124" t="s">
        <v>229</v>
      </c>
      <c r="Y447" s="125" t="s">
        <v>239</v>
      </c>
    </row>
    <row r="448" spans="19:25" ht="60" x14ac:dyDescent="0.2">
      <c r="S448" s="126" t="str">
        <f>VLOOKUP(T448,$A$3:$P$63,2,FALSE)</f>
        <v>Office asset common areas*</v>
      </c>
      <c r="T448" s="127">
        <f>+T436+1</f>
        <v>38</v>
      </c>
      <c r="U448" s="127">
        <f>+(T448-1)*10+1</f>
        <v>371</v>
      </c>
      <c r="V448" s="128" t="s">
        <v>230</v>
      </c>
      <c r="W448" s="129">
        <f>VLOOKUP(S448,$B$3:$M$63,2,FALSE)</f>
        <v>16.271727219074549</v>
      </c>
      <c r="X448" s="129">
        <f>VLOOKUP(S448,$B$3:$M$63,10,FALSE)</f>
        <v>63.409293487375862</v>
      </c>
      <c r="Y448" s="130">
        <v>0</v>
      </c>
    </row>
    <row r="449" spans="19:25" x14ac:dyDescent="0.2">
      <c r="S449" s="131"/>
      <c r="T449" s="127"/>
      <c r="U449" s="127">
        <f>+(T448-1)*10+2</f>
        <v>372</v>
      </c>
      <c r="V449" s="128" t="s">
        <v>314</v>
      </c>
      <c r="W449" s="129">
        <f>VLOOKUP(S448,$B$3:$M$63,3,FALSE)</f>
        <v>18.079844849669691</v>
      </c>
      <c r="X449" s="129"/>
      <c r="Y449" s="130">
        <v>0</v>
      </c>
    </row>
    <row r="450" spans="19:25" x14ac:dyDescent="0.2">
      <c r="S450" s="131"/>
      <c r="T450" s="127"/>
      <c r="U450" s="127">
        <f>+(T448-1)*10+3</f>
        <v>373</v>
      </c>
      <c r="V450" s="128" t="s">
        <v>232</v>
      </c>
      <c r="W450" s="129">
        <f>VLOOKUP(S448,$B$3:$M$63,4,FALSE)</f>
        <v>20.022027286927472</v>
      </c>
      <c r="X450" s="129"/>
      <c r="Y450" s="130">
        <v>0</v>
      </c>
    </row>
    <row r="451" spans="19:25" x14ac:dyDescent="0.2">
      <c r="S451" s="131"/>
      <c r="T451" s="127"/>
      <c r="U451" s="127">
        <f>+(T448-1)*10+4</f>
        <v>374</v>
      </c>
      <c r="V451" s="128" t="s">
        <v>317</v>
      </c>
      <c r="W451" s="129">
        <f>VLOOKUP(S448,$B$3:$M$63,5,FALSE)</f>
        <v>21.199859195565619</v>
      </c>
      <c r="X451" s="129"/>
      <c r="Y451" s="130">
        <v>0</v>
      </c>
    </row>
    <row r="452" spans="19:25" x14ac:dyDescent="0.2">
      <c r="S452" s="131"/>
      <c r="T452" s="127"/>
      <c r="U452" s="127">
        <f>+(T448-1)*10+5</f>
        <v>375</v>
      </c>
      <c r="V452" s="128" t="s">
        <v>234</v>
      </c>
      <c r="W452" s="129">
        <f>VLOOKUP(S448,$B$3:$M$63,6,FALSE)</f>
        <v>27.481257654995392</v>
      </c>
      <c r="X452" s="129"/>
      <c r="Y452" s="130">
        <v>0</v>
      </c>
    </row>
    <row r="453" spans="19:25" x14ac:dyDescent="0.2">
      <c r="S453" s="131"/>
      <c r="T453" s="127"/>
      <c r="U453" s="127">
        <f>+(T448-1)*10+6</f>
        <v>376</v>
      </c>
      <c r="V453" s="128" t="s">
        <v>235</v>
      </c>
      <c r="W453" s="129">
        <f>VLOOKUP(S448,$B$3:$M$63,7,FALSE)</f>
        <v>11.450524022914747</v>
      </c>
      <c r="X453" s="129"/>
      <c r="Y453" s="130">
        <v>0</v>
      </c>
    </row>
    <row r="454" spans="19:25" x14ac:dyDescent="0.2">
      <c r="S454" s="131"/>
      <c r="T454" s="127"/>
      <c r="U454" s="127">
        <f>+(T448-1)*10+7</f>
        <v>377</v>
      </c>
      <c r="V454" s="128" t="s">
        <v>236</v>
      </c>
      <c r="W454" s="129">
        <f>VLOOKUP(S448,$B$3:$M$63,8,FALSE)</f>
        <v>50.382305700824894</v>
      </c>
      <c r="X454" s="129">
        <f>VLOOKUP(S448,$B$3:$M$63,11,FALSE)</f>
        <v>5.0324836101091952</v>
      </c>
      <c r="Y454" s="130">
        <v>0</v>
      </c>
    </row>
    <row r="455" spans="19:25" x14ac:dyDescent="0.2">
      <c r="S455" s="131"/>
      <c r="T455" s="127"/>
      <c r="U455" s="127">
        <f>+(T448-1)*10+8</f>
        <v>378</v>
      </c>
      <c r="V455" s="128" t="s">
        <v>237</v>
      </c>
      <c r="W455" s="129"/>
      <c r="X455" s="129"/>
      <c r="Y455" s="130"/>
    </row>
    <row r="456" spans="19:25" x14ac:dyDescent="0.2">
      <c r="S456" s="131"/>
      <c r="T456" s="127"/>
      <c r="U456" s="127">
        <f>+(T448-1)*10+9</f>
        <v>379</v>
      </c>
      <c r="V456" s="128" t="s">
        <v>238</v>
      </c>
      <c r="W456" s="129">
        <f>VLOOKUP(S448,$B$3:$M$63,9,FALSE)</f>
        <v>0</v>
      </c>
      <c r="X456" s="129">
        <f>VLOOKUP(S448,$B$3:$M$63,12,FALSE)</f>
        <v>2.0129934440436781</v>
      </c>
      <c r="Y456" s="130">
        <v>0</v>
      </c>
    </row>
    <row r="457" spans="19:25" x14ac:dyDescent="0.2">
      <c r="T457" s="132"/>
      <c r="U457" s="127">
        <f>+(T448-1)*10+10</f>
        <v>380</v>
      </c>
      <c r="V457" s="123" t="s">
        <v>324</v>
      </c>
      <c r="W457" s="133">
        <f>SUM(W448:W456)</f>
        <v>164.88754592997236</v>
      </c>
      <c r="X457" s="133">
        <f>SUM(X448:X456)</f>
        <v>70.454770541528731</v>
      </c>
      <c r="Y457" s="125">
        <v>0</v>
      </c>
    </row>
    <row r="458" spans="19:25" x14ac:dyDescent="0.2">
      <c r="T458" s="132"/>
      <c r="U458" s="132"/>
      <c r="V458" s="132"/>
      <c r="W458" s="132"/>
      <c r="X458" s="132"/>
      <c r="Y458" s="132"/>
    </row>
    <row r="459" spans="19:25" x14ac:dyDescent="0.2">
      <c r="S459" s="122"/>
      <c r="T459" s="122"/>
      <c r="U459" s="122"/>
      <c r="V459" s="123" t="s">
        <v>227</v>
      </c>
      <c r="W459" s="124" t="s">
        <v>228</v>
      </c>
      <c r="X459" s="124" t="s">
        <v>229</v>
      </c>
      <c r="Y459" s="125" t="s">
        <v>239</v>
      </c>
    </row>
    <row r="460" spans="19:25" x14ac:dyDescent="0.2">
      <c r="S460" s="126" t="str">
        <f>VLOOKUP(T460,$A$3:$P$63,2,FALSE)</f>
        <v>Fire station</v>
      </c>
      <c r="T460" s="127">
        <f>+T448+1</f>
        <v>39</v>
      </c>
      <c r="U460" s="127">
        <f>+(T460-1)*10+1</f>
        <v>381</v>
      </c>
      <c r="V460" s="128" t="s">
        <v>230</v>
      </c>
      <c r="W460" s="129">
        <f>VLOOKUP(S460,$B$3:$M$63,2,FALSE)</f>
        <v>5.6116191228877197</v>
      </c>
      <c r="X460" s="129">
        <f>VLOOKUP(S460,$B$3:$M$63,10,FALSE)</f>
        <v>173.8931143539719</v>
      </c>
      <c r="Y460" s="130">
        <v>0</v>
      </c>
    </row>
    <row r="461" spans="19:25" x14ac:dyDescent="0.2">
      <c r="S461" s="131"/>
      <c r="T461" s="127"/>
      <c r="U461" s="127">
        <f>+(T460-1)*10+2</f>
        <v>382</v>
      </c>
      <c r="V461" s="128" t="s">
        <v>314</v>
      </c>
      <c r="W461" s="129">
        <f>VLOOKUP(S460,$B$3:$M$63,3,FALSE)</f>
        <v>0.41824339828056772</v>
      </c>
      <c r="X461" s="129"/>
      <c r="Y461" s="130">
        <v>0</v>
      </c>
    </row>
    <row r="462" spans="19:25" x14ac:dyDescent="0.2">
      <c r="S462" s="131"/>
      <c r="T462" s="127"/>
      <c r="U462" s="127">
        <f>+(T460-1)*10+3</f>
        <v>383</v>
      </c>
      <c r="V462" s="128" t="s">
        <v>232</v>
      </c>
      <c r="W462" s="129">
        <f>VLOOKUP(S460,$B$3:$M$63,4,FALSE)</f>
        <v>4.4847029624766002</v>
      </c>
      <c r="X462" s="129"/>
      <c r="Y462" s="130">
        <v>0</v>
      </c>
    </row>
    <row r="463" spans="19:25" x14ac:dyDescent="0.2">
      <c r="S463" s="131"/>
      <c r="T463" s="127"/>
      <c r="U463" s="127">
        <f>+(T460-1)*10+4</f>
        <v>384</v>
      </c>
      <c r="V463" s="128" t="s">
        <v>317</v>
      </c>
      <c r="W463" s="129">
        <f>VLOOKUP(S460,$B$3:$M$63,5,FALSE)</f>
        <v>1.79388118499064</v>
      </c>
      <c r="X463" s="129"/>
      <c r="Y463" s="130">
        <v>0</v>
      </c>
    </row>
    <row r="464" spans="19:25" x14ac:dyDescent="0.2">
      <c r="S464" s="131"/>
      <c r="T464" s="127"/>
      <c r="U464" s="127">
        <f>+(T460-1)*10+5</f>
        <v>385</v>
      </c>
      <c r="V464" s="128" t="s">
        <v>234</v>
      </c>
      <c r="W464" s="129">
        <f>VLOOKUP(S460,$B$3:$M$63,6,FALSE)</f>
        <v>0.83648679656113545</v>
      </c>
      <c r="X464" s="129"/>
      <c r="Y464" s="130">
        <v>0</v>
      </c>
    </row>
    <row r="465" spans="19:25" x14ac:dyDescent="0.2">
      <c r="S465" s="131"/>
      <c r="T465" s="127"/>
      <c r="U465" s="127">
        <f>+(T460-1)*10+6</f>
        <v>386</v>
      </c>
      <c r="V465" s="128" t="s">
        <v>235</v>
      </c>
      <c r="W465" s="129">
        <f>VLOOKUP(S460,$B$3:$M$63,7,FALSE)</f>
        <v>6.1680810664718173</v>
      </c>
      <c r="X465" s="129"/>
      <c r="Y465" s="130">
        <v>0</v>
      </c>
    </row>
    <row r="466" spans="19:25" x14ac:dyDescent="0.2">
      <c r="S466" s="131"/>
      <c r="T466" s="127"/>
      <c r="U466" s="127">
        <f>+(T460-1)*10+7</f>
        <v>387</v>
      </c>
      <c r="V466" s="128" t="s">
        <v>236</v>
      </c>
      <c r="W466" s="129">
        <f>VLOOKUP(S460,$B$3:$M$63,8,FALSE)</f>
        <v>51.489681958727097</v>
      </c>
      <c r="X466" s="129">
        <f>VLOOKUP(S460,$B$3:$M$63,11,FALSE)</f>
        <v>27.554504071811294</v>
      </c>
      <c r="Y466" s="130">
        <v>0</v>
      </c>
    </row>
    <row r="467" spans="19:25" x14ac:dyDescent="0.2">
      <c r="S467" s="131"/>
      <c r="T467" s="127"/>
      <c r="U467" s="127">
        <f>+(T460-1)*10+8</f>
        <v>388</v>
      </c>
      <c r="V467" s="128" t="s">
        <v>237</v>
      </c>
      <c r="W467" s="129"/>
      <c r="X467" s="129"/>
      <c r="Y467" s="130"/>
    </row>
    <row r="468" spans="19:25" x14ac:dyDescent="0.2">
      <c r="S468" s="131"/>
      <c r="T468" s="127"/>
      <c r="U468" s="127">
        <f>+(T460-1)*10+9</f>
        <v>389</v>
      </c>
      <c r="V468" s="128" t="s">
        <v>238</v>
      </c>
      <c r="W468" s="129">
        <f>VLOOKUP(S460,$B$3:$M$63,9,FALSE)</f>
        <v>47.686743540606187</v>
      </c>
      <c r="X468" s="129">
        <f>VLOOKUP(S460,$B$3:$M$63,12,FALSE)</f>
        <v>6.9585044186268057</v>
      </c>
      <c r="Y468" s="130">
        <v>0</v>
      </c>
    </row>
    <row r="469" spans="19:25" x14ac:dyDescent="0.2">
      <c r="T469" s="132"/>
      <c r="U469" s="127">
        <f>+(T460-1)*10+10</f>
        <v>390</v>
      </c>
      <c r="V469" s="123" t="s">
        <v>324</v>
      </c>
      <c r="W469" s="133">
        <f>SUM(W460:W468)</f>
        <v>118.48944003100176</v>
      </c>
      <c r="X469" s="133">
        <f>SUM(X460:X468)</f>
        <v>208.40612284440999</v>
      </c>
      <c r="Y469" s="125">
        <v>0</v>
      </c>
    </row>
    <row r="470" spans="19:25" x14ac:dyDescent="0.2">
      <c r="T470" s="132"/>
      <c r="U470" s="132"/>
      <c r="V470" s="132"/>
      <c r="W470" s="132"/>
      <c r="X470" s="132"/>
      <c r="Y470" s="132"/>
    </row>
    <row r="471" spans="19:25" x14ac:dyDescent="0.2">
      <c r="S471" s="122"/>
      <c r="T471" s="122"/>
      <c r="U471" s="122"/>
      <c r="V471" s="123" t="s">
        <v>227</v>
      </c>
      <c r="W471" s="124" t="s">
        <v>228</v>
      </c>
      <c r="X471" s="124" t="s">
        <v>229</v>
      </c>
      <c r="Y471" s="125" t="s">
        <v>239</v>
      </c>
    </row>
    <row r="472" spans="19:25" x14ac:dyDescent="0.2">
      <c r="S472" s="126" t="str">
        <f>VLOOKUP(T472,$A$3:$P$63,2,FALSE)</f>
        <v>Law court</v>
      </c>
      <c r="T472" s="127">
        <f>+T460+1</f>
        <v>40</v>
      </c>
      <c r="U472" s="127">
        <f>+(T472-1)*10+1</f>
        <v>391</v>
      </c>
      <c r="V472" s="128" t="s">
        <v>230</v>
      </c>
      <c r="W472" s="129">
        <f>VLOOKUP(S472,$B$3:$M$63,2,FALSE)</f>
        <v>6.6715090507491759</v>
      </c>
      <c r="X472" s="129">
        <f>VLOOKUP(S472,$B$3:$M$63,10,FALSE)</f>
        <v>111.18120265405872</v>
      </c>
      <c r="Y472" s="130">
        <v>0</v>
      </c>
    </row>
    <row r="473" spans="19:25" x14ac:dyDescent="0.2">
      <c r="S473" s="131"/>
      <c r="T473" s="127"/>
      <c r="U473" s="127">
        <f>+(T472-1)*10+2</f>
        <v>392</v>
      </c>
      <c r="V473" s="128" t="s">
        <v>314</v>
      </c>
      <c r="W473" s="129">
        <f>VLOOKUP(S472,$B$3:$M$63,3,FALSE)</f>
        <v>3.7453955567648897E-2</v>
      </c>
      <c r="X473" s="129"/>
      <c r="Y473" s="130">
        <v>0</v>
      </c>
    </row>
    <row r="474" spans="19:25" x14ac:dyDescent="0.2">
      <c r="S474" s="131"/>
      <c r="T474" s="127"/>
      <c r="U474" s="127">
        <f>+(T472-1)*10+3</f>
        <v>393</v>
      </c>
      <c r="V474" s="128" t="s">
        <v>232</v>
      </c>
      <c r="W474" s="129">
        <f>VLOOKUP(S472,$B$3:$M$63,4,FALSE)</f>
        <v>12.322585113643148</v>
      </c>
      <c r="X474" s="129"/>
      <c r="Y474" s="130">
        <v>0</v>
      </c>
    </row>
    <row r="475" spans="19:25" x14ac:dyDescent="0.2">
      <c r="S475" s="131"/>
      <c r="T475" s="127"/>
      <c r="U475" s="127">
        <f>+(T472-1)*10+4</f>
        <v>394</v>
      </c>
      <c r="V475" s="128" t="s">
        <v>317</v>
      </c>
      <c r="W475" s="129">
        <f>VLOOKUP(S472,$B$3:$M$63,5,FALSE)</f>
        <v>4.9290340454572581</v>
      </c>
      <c r="X475" s="129"/>
      <c r="Y475" s="130">
        <v>0</v>
      </c>
    </row>
    <row r="476" spans="19:25" x14ac:dyDescent="0.2">
      <c r="S476" s="131"/>
      <c r="T476" s="127"/>
      <c r="U476" s="127">
        <f>+(T472-1)*10+5</f>
        <v>395</v>
      </c>
      <c r="V476" s="128" t="s">
        <v>234</v>
      </c>
      <c r="W476" s="129">
        <f>VLOOKUP(S472,$B$3:$M$63,6,FALSE)</f>
        <v>16.293195872483714</v>
      </c>
      <c r="X476" s="129"/>
      <c r="Y476" s="130">
        <v>0</v>
      </c>
    </row>
    <row r="477" spans="19:25" x14ac:dyDescent="0.2">
      <c r="S477" s="131"/>
      <c r="T477" s="127"/>
      <c r="U477" s="127">
        <f>+(T472-1)*10+6</f>
        <v>396</v>
      </c>
      <c r="V477" s="128" t="s">
        <v>235</v>
      </c>
      <c r="W477" s="129">
        <f>VLOOKUP(S472,$B$3:$M$63,7,FALSE)</f>
        <v>0.95842328661668919</v>
      </c>
      <c r="X477" s="129"/>
      <c r="Y477" s="130">
        <v>0</v>
      </c>
    </row>
    <row r="478" spans="19:25" x14ac:dyDescent="0.2">
      <c r="S478" s="131"/>
      <c r="T478" s="127"/>
      <c r="U478" s="127">
        <f>+(T472-1)*10+7</f>
        <v>397</v>
      </c>
      <c r="V478" s="128" t="s">
        <v>236</v>
      </c>
      <c r="W478" s="129">
        <f>VLOOKUP(S472,$B$3:$M$63,8,FALSE)</f>
        <v>16.293195872483714</v>
      </c>
      <c r="X478" s="129">
        <f>VLOOKUP(S472,$B$3:$M$63,11,FALSE)</f>
        <v>2.8753759307084152</v>
      </c>
      <c r="Y478" s="130">
        <v>0</v>
      </c>
    </row>
    <row r="479" spans="19:25" x14ac:dyDescent="0.2">
      <c r="S479" s="131"/>
      <c r="T479" s="127"/>
      <c r="U479" s="127">
        <f>+(T472-1)*10+8</f>
        <v>398</v>
      </c>
      <c r="V479" s="128" t="s">
        <v>237</v>
      </c>
      <c r="W479" s="129"/>
      <c r="X479" s="129"/>
      <c r="Y479" s="130"/>
    </row>
    <row r="480" spans="19:25" x14ac:dyDescent="0.2">
      <c r="S480" s="131"/>
      <c r="T480" s="127"/>
      <c r="U480" s="127">
        <f>+(T472-1)*10+9</f>
        <v>399</v>
      </c>
      <c r="V480" s="128" t="s">
        <v>238</v>
      </c>
      <c r="W480" s="129">
        <f>VLOOKUP(S472,$B$3:$M$63,9,FALSE)</f>
        <v>0</v>
      </c>
      <c r="X480" s="129">
        <f>VLOOKUP(S472,$B$3:$M$63,12,FALSE)</f>
        <v>0.95845864356947175</v>
      </c>
      <c r="Y480" s="130">
        <v>0</v>
      </c>
    </row>
    <row r="481" spans="19:25" x14ac:dyDescent="0.2">
      <c r="T481" s="132"/>
      <c r="U481" s="127">
        <f>+(T472-1)*10+10</f>
        <v>400</v>
      </c>
      <c r="V481" s="123" t="s">
        <v>324</v>
      </c>
      <c r="W481" s="133">
        <f>SUM(W472:W480)</f>
        <v>57.505397197001344</v>
      </c>
      <c r="X481" s="133">
        <f>SUM(X472:X480)</f>
        <v>115.01503722833661</v>
      </c>
      <c r="Y481" s="125">
        <v>0</v>
      </c>
    </row>
    <row r="482" spans="19:25" x14ac:dyDescent="0.2">
      <c r="T482" s="132"/>
      <c r="U482" s="132"/>
      <c r="V482" s="132"/>
      <c r="W482" s="132"/>
      <c r="X482" s="132"/>
      <c r="Y482" s="132"/>
    </row>
    <row r="483" spans="19:25" x14ac:dyDescent="0.2">
      <c r="S483" s="122"/>
      <c r="T483" s="122"/>
      <c r="U483" s="122"/>
      <c r="V483" s="123" t="s">
        <v>227</v>
      </c>
      <c r="W483" s="124" t="s">
        <v>228</v>
      </c>
      <c r="X483" s="124" t="s">
        <v>229</v>
      </c>
      <c r="Y483" s="125" t="s">
        <v>239</v>
      </c>
    </row>
    <row r="484" spans="19:25" ht="30" x14ac:dyDescent="0.2">
      <c r="S484" s="126" t="str">
        <f>VLOOKUP(T484,$A$3:$P$63,2,FALSE)</f>
        <v>Police station</v>
      </c>
      <c r="T484" s="127">
        <f>+T472+1</f>
        <v>41</v>
      </c>
      <c r="U484" s="127">
        <f>+(T484-1)*10+1</f>
        <v>401</v>
      </c>
      <c r="V484" s="128" t="s">
        <v>230</v>
      </c>
      <c r="W484" s="129">
        <f>VLOOKUP(S484,$B$3:$M$63,2,FALSE)</f>
        <v>9.3484055330052005</v>
      </c>
      <c r="X484" s="129">
        <f>VLOOKUP(S484,$B$3:$M$63,10,FALSE)</f>
        <v>181.5789602786322</v>
      </c>
      <c r="Y484" s="130">
        <v>0</v>
      </c>
    </row>
    <row r="485" spans="19:25" x14ac:dyDescent="0.2">
      <c r="S485" s="131"/>
      <c r="T485" s="127"/>
      <c r="U485" s="127">
        <f>+(T484-1)*10+2</f>
        <v>402</v>
      </c>
      <c r="V485" s="128" t="s">
        <v>314</v>
      </c>
      <c r="W485" s="129">
        <f>VLOOKUP(S484,$B$3:$M$63,3,FALSE)</f>
        <v>0.50393633543408878</v>
      </c>
      <c r="X485" s="129"/>
      <c r="Y485" s="130">
        <v>0</v>
      </c>
    </row>
    <row r="486" spans="19:25" x14ac:dyDescent="0.2">
      <c r="S486" s="131"/>
      <c r="T486" s="127"/>
      <c r="U486" s="127">
        <f>+(T484-1)*10+3</f>
        <v>403</v>
      </c>
      <c r="V486" s="128" t="s">
        <v>232</v>
      </c>
      <c r="W486" s="129">
        <f>VLOOKUP(S484,$B$3:$M$63,4,FALSE)</f>
        <v>6.8582778796441435</v>
      </c>
      <c r="X486" s="129"/>
      <c r="Y486" s="130">
        <v>0</v>
      </c>
    </row>
    <row r="487" spans="19:25" x14ac:dyDescent="0.2">
      <c r="S487" s="131"/>
      <c r="T487" s="127"/>
      <c r="U487" s="127">
        <f>+(T484-1)*10+4</f>
        <v>404</v>
      </c>
      <c r="V487" s="128" t="s">
        <v>317</v>
      </c>
      <c r="W487" s="129">
        <f>VLOOKUP(S484,$B$3:$M$63,5,FALSE)</f>
        <v>0.53097852168532345</v>
      </c>
      <c r="X487" s="129"/>
      <c r="Y487" s="130">
        <v>0</v>
      </c>
    </row>
    <row r="488" spans="19:25" x14ac:dyDescent="0.2">
      <c r="S488" s="131"/>
      <c r="T488" s="127"/>
      <c r="U488" s="127">
        <f>+(T484-1)*10+5</f>
        <v>405</v>
      </c>
      <c r="V488" s="128" t="s">
        <v>234</v>
      </c>
      <c r="W488" s="129">
        <f>VLOOKUP(S484,$B$3:$M$63,6,FALSE)</f>
        <v>9.8523418684392894</v>
      </c>
      <c r="X488" s="129"/>
      <c r="Y488" s="130">
        <v>0</v>
      </c>
    </row>
    <row r="489" spans="19:25" x14ac:dyDescent="0.2">
      <c r="S489" s="131"/>
      <c r="T489" s="127"/>
      <c r="U489" s="127">
        <f>+(T484-1)*10+6</f>
        <v>406</v>
      </c>
      <c r="V489" s="128" t="s">
        <v>235</v>
      </c>
      <c r="W489" s="129">
        <f>VLOOKUP(S484,$B$3:$M$63,7,FALSE)</f>
        <v>2.4630854671098223</v>
      </c>
      <c r="X489" s="129"/>
      <c r="Y489" s="130">
        <v>0</v>
      </c>
    </row>
    <row r="490" spans="19:25" x14ac:dyDescent="0.2">
      <c r="S490" s="131"/>
      <c r="T490" s="127"/>
      <c r="U490" s="127">
        <f>+(T484-1)*10+7</f>
        <v>407</v>
      </c>
      <c r="V490" s="128" t="s">
        <v>236</v>
      </c>
      <c r="W490" s="129">
        <f>VLOOKUP(S484,$B$3:$M$63,8,FALSE)</f>
        <v>88.671076815953597</v>
      </c>
      <c r="X490" s="129">
        <f>VLOOKUP(S484,$B$3:$M$63,11,FALSE)</f>
        <v>26.759004672640536</v>
      </c>
      <c r="Y490" s="130">
        <v>0</v>
      </c>
    </row>
    <row r="491" spans="19:25" x14ac:dyDescent="0.2">
      <c r="S491" s="131"/>
      <c r="T491" s="127"/>
      <c r="U491" s="127">
        <f>+(T484-1)*10+8</f>
        <v>408</v>
      </c>
      <c r="V491" s="128" t="s">
        <v>237</v>
      </c>
      <c r="W491" s="129"/>
      <c r="X491" s="129"/>
      <c r="Y491" s="130"/>
    </row>
    <row r="492" spans="19:25" x14ac:dyDescent="0.2">
      <c r="S492" s="131"/>
      <c r="T492" s="127"/>
      <c r="U492" s="127">
        <f>+(T484-1)*10+9</f>
        <v>409</v>
      </c>
      <c r="V492" s="128" t="s">
        <v>238</v>
      </c>
      <c r="W492" s="129">
        <f>VLOOKUP(S484,$B$3:$M$63,9,FALSE)</f>
        <v>0</v>
      </c>
      <c r="X492" s="129">
        <f>VLOOKUP(S484,$B$3:$M$63,12,FALSE)</f>
        <v>0</v>
      </c>
      <c r="Y492" s="130">
        <v>0</v>
      </c>
    </row>
    <row r="493" spans="19:25" x14ac:dyDescent="0.2">
      <c r="T493" s="132"/>
      <c r="U493" s="127">
        <f>+(T484-1)*10+10</f>
        <v>410</v>
      </c>
      <c r="V493" s="123" t="s">
        <v>324</v>
      </c>
      <c r="W493" s="133">
        <f>SUM(W484:W492)</f>
        <v>118.22810242127147</v>
      </c>
      <c r="X493" s="133">
        <f>SUM(X484:X492)</f>
        <v>208.33796495127274</v>
      </c>
      <c r="Y493" s="125">
        <v>0</v>
      </c>
    </row>
    <row r="494" spans="19:25" x14ac:dyDescent="0.2">
      <c r="T494" s="132"/>
      <c r="U494" s="132"/>
      <c r="V494" s="132"/>
      <c r="W494" s="132"/>
      <c r="X494" s="132"/>
      <c r="Y494" s="132"/>
    </row>
    <row r="495" spans="19:25" x14ac:dyDescent="0.2">
      <c r="S495" s="122"/>
      <c r="T495" s="122"/>
      <c r="U495" s="122"/>
      <c r="V495" s="123" t="s">
        <v>227</v>
      </c>
      <c r="W495" s="124" t="s">
        <v>228</v>
      </c>
      <c r="X495" s="124" t="s">
        <v>229</v>
      </c>
      <c r="Y495" s="125" t="s">
        <v>239</v>
      </c>
    </row>
    <row r="496" spans="19:25" x14ac:dyDescent="0.2">
      <c r="S496" s="126" t="str">
        <f>VLOOKUP(T496,$A$3:$P$63,2,FALSE)</f>
        <v>Town hall</v>
      </c>
      <c r="T496" s="127">
        <f>+T484+1</f>
        <v>42</v>
      </c>
      <c r="U496" s="127">
        <f>+(T496-1)*10+1</f>
        <v>411</v>
      </c>
      <c r="V496" s="128" t="s">
        <v>230</v>
      </c>
      <c r="W496" s="129">
        <f>VLOOKUP(S496,$B$3:$M$63,2,FALSE)</f>
        <v>9.6690139269009112</v>
      </c>
      <c r="X496" s="129">
        <f>VLOOKUP(S496,$B$3:$M$63,10,FALSE)</f>
        <v>118.89547055738332</v>
      </c>
      <c r="Y496" s="130">
        <v>0</v>
      </c>
    </row>
    <row r="497" spans="19:25" x14ac:dyDescent="0.2">
      <c r="S497" s="131"/>
      <c r="T497" s="127"/>
      <c r="U497" s="127">
        <f>+(T496-1)*10+2</f>
        <v>412</v>
      </c>
      <c r="V497" s="128" t="s">
        <v>314</v>
      </c>
      <c r="W497" s="129">
        <f>VLOOKUP(S496,$B$3:$M$63,3,FALSE)</f>
        <v>10.743436716585178</v>
      </c>
      <c r="X497" s="129"/>
      <c r="Y497" s="130">
        <v>0</v>
      </c>
    </row>
    <row r="498" spans="19:25" x14ac:dyDescent="0.2">
      <c r="S498" s="131"/>
      <c r="T498" s="127"/>
      <c r="U498" s="127">
        <f>+(T496-1)*10+3</f>
        <v>413</v>
      </c>
      <c r="V498" s="128" t="s">
        <v>232</v>
      </c>
      <c r="W498" s="129">
        <f>VLOOKUP(S496,$B$3:$M$63,4,FALSE)</f>
        <v>11.89752372785305</v>
      </c>
      <c r="X498" s="129"/>
      <c r="Y498" s="130">
        <v>0</v>
      </c>
    </row>
    <row r="499" spans="19:25" x14ac:dyDescent="0.2">
      <c r="S499" s="131"/>
      <c r="T499" s="127"/>
      <c r="U499" s="127">
        <f>+(T496-1)*10+4</f>
        <v>414</v>
      </c>
      <c r="V499" s="128" t="s">
        <v>317</v>
      </c>
      <c r="W499" s="129">
        <f>VLOOKUP(S496,$B$3:$M$63,5,FALSE)</f>
        <v>12.597417044330257</v>
      </c>
      <c r="X499" s="129"/>
      <c r="Y499" s="130">
        <v>0</v>
      </c>
    </row>
    <row r="500" spans="19:25" x14ac:dyDescent="0.2">
      <c r="S500" s="131"/>
      <c r="T500" s="127"/>
      <c r="U500" s="127">
        <f>+(T496-1)*10+5</f>
        <v>415</v>
      </c>
      <c r="V500" s="128" t="s">
        <v>234</v>
      </c>
      <c r="W500" s="129">
        <f>VLOOKUP(S496,$B$3:$M$63,6,FALSE)</f>
        <v>16.329960514788873</v>
      </c>
      <c r="X500" s="129"/>
      <c r="Y500" s="130">
        <v>0</v>
      </c>
    </row>
    <row r="501" spans="19:25" x14ac:dyDescent="0.2">
      <c r="S501" s="131"/>
      <c r="T501" s="127"/>
      <c r="U501" s="127">
        <f>+(T496-1)*10+6</f>
        <v>416</v>
      </c>
      <c r="V501" s="128" t="s">
        <v>235</v>
      </c>
      <c r="W501" s="129">
        <f>VLOOKUP(S496,$B$3:$M$63,7,FALSE)</f>
        <v>6.8041502144953636</v>
      </c>
      <c r="X501" s="129"/>
      <c r="Y501" s="130">
        <v>0</v>
      </c>
    </row>
    <row r="502" spans="19:25" x14ac:dyDescent="0.2">
      <c r="S502" s="131"/>
      <c r="T502" s="127"/>
      <c r="U502" s="127">
        <f>+(T496-1)*10+7</f>
        <v>417</v>
      </c>
      <c r="V502" s="128" t="s">
        <v>236</v>
      </c>
      <c r="W502" s="129">
        <f>VLOOKUP(S496,$B$3:$M$63,8,FALSE)</f>
        <v>29.938260943779603</v>
      </c>
      <c r="X502" s="129">
        <f>VLOOKUP(S496,$B$3:$M$63,11,FALSE)</f>
        <v>9.4361484569351841</v>
      </c>
      <c r="Y502" s="130">
        <v>0</v>
      </c>
    </row>
    <row r="503" spans="19:25" x14ac:dyDescent="0.2">
      <c r="S503" s="131"/>
      <c r="T503" s="127"/>
      <c r="U503" s="127">
        <f>+(T496-1)*10+8</f>
        <v>418</v>
      </c>
      <c r="V503" s="128" t="s">
        <v>237</v>
      </c>
      <c r="W503" s="129"/>
      <c r="X503" s="129"/>
      <c r="Y503" s="130"/>
    </row>
    <row r="504" spans="19:25" x14ac:dyDescent="0.2">
      <c r="S504" s="131"/>
      <c r="T504" s="127"/>
      <c r="U504" s="127">
        <f>+(T496-1)*10+9</f>
        <v>419</v>
      </c>
      <c r="V504" s="128" t="s">
        <v>238</v>
      </c>
      <c r="W504" s="129">
        <f>VLOOKUP(S496,$B$3:$M$63,9,FALSE)</f>
        <v>0</v>
      </c>
      <c r="X504" s="129">
        <f>VLOOKUP(S496,$B$3:$M$63,12,FALSE)</f>
        <v>3.7744593827740736</v>
      </c>
      <c r="Y504" s="130">
        <v>0</v>
      </c>
    </row>
    <row r="505" spans="19:25" x14ac:dyDescent="0.2">
      <c r="T505" s="132"/>
      <c r="U505" s="127">
        <f>+(T496-1)*10+10</f>
        <v>420</v>
      </c>
      <c r="V505" s="123" t="s">
        <v>324</v>
      </c>
      <c r="W505" s="133">
        <f>SUM(W496:W504)</f>
        <v>97.979763088733222</v>
      </c>
      <c r="X505" s="133">
        <f>SUM(X496:X504)</f>
        <v>132.10607839709257</v>
      </c>
      <c r="Y505" s="125">
        <v>0</v>
      </c>
    </row>
    <row r="506" spans="19:25" x14ac:dyDescent="0.2">
      <c r="T506" s="132"/>
      <c r="U506" s="132"/>
      <c r="V506" s="132"/>
      <c r="W506" s="132"/>
      <c r="X506" s="132"/>
      <c r="Y506" s="132"/>
    </row>
    <row r="507" spans="19:25" x14ac:dyDescent="0.2">
      <c r="S507" s="122"/>
      <c r="T507" s="122"/>
      <c r="U507" s="122"/>
      <c r="V507" s="123" t="s">
        <v>227</v>
      </c>
      <c r="W507" s="124" t="s">
        <v>228</v>
      </c>
      <c r="X507" s="124" t="s">
        <v>229</v>
      </c>
      <c r="Y507" s="125" t="s">
        <v>239</v>
      </c>
    </row>
    <row r="508" spans="19:25" ht="75" x14ac:dyDescent="0.2">
      <c r="S508" s="126" t="str">
        <f>VLOOKUP(T508,$A$3:$P$63,2,FALSE)</f>
        <v>Government services asset common areas*</v>
      </c>
      <c r="T508" s="127">
        <f>+T496+1</f>
        <v>43</v>
      </c>
      <c r="U508" s="127">
        <f>+(T508-1)*10+1</f>
        <v>421</v>
      </c>
      <c r="V508" s="128" t="s">
        <v>230</v>
      </c>
      <c r="W508" s="129">
        <f>VLOOKUP(S508,$B$3:$M$63,2,FALSE)</f>
        <v>22.34911479818129</v>
      </c>
      <c r="X508" s="129">
        <f>VLOOKUP(S508,$B$3:$M$63,10,FALSE)</f>
        <v>45.142664810060808</v>
      </c>
      <c r="Y508" s="130">
        <v>0</v>
      </c>
    </row>
    <row r="509" spans="19:25" x14ac:dyDescent="0.2">
      <c r="S509" s="131"/>
      <c r="T509" s="127"/>
      <c r="U509" s="127">
        <f>+(T508-1)*10+2</f>
        <v>422</v>
      </c>
      <c r="V509" s="128" t="s">
        <v>314</v>
      </c>
      <c r="W509" s="129">
        <f>VLOOKUP(S508,$B$3:$M$63,3,FALSE)</f>
        <v>14.548269507323461</v>
      </c>
      <c r="X509" s="129"/>
      <c r="Y509" s="130">
        <v>0</v>
      </c>
    </row>
    <row r="510" spans="19:25" x14ac:dyDescent="0.2">
      <c r="S510" s="131"/>
      <c r="T510" s="127"/>
      <c r="U510" s="127">
        <f>+(T508-1)*10+3</f>
        <v>423</v>
      </c>
      <c r="V510" s="128" t="s">
        <v>232</v>
      </c>
      <c r="W510" s="129">
        <f>VLOOKUP(S508,$B$3:$M$63,4,FALSE)</f>
        <v>14.83080840971297</v>
      </c>
      <c r="X510" s="129"/>
      <c r="Y510" s="130">
        <v>0</v>
      </c>
    </row>
    <row r="511" spans="19:25" x14ac:dyDescent="0.2">
      <c r="S511" s="131"/>
      <c r="T511" s="127"/>
      <c r="U511" s="127">
        <f>+(T508-1)*10+4</f>
        <v>424</v>
      </c>
      <c r="V511" s="128" t="s">
        <v>317</v>
      </c>
      <c r="W511" s="129">
        <f>VLOOKUP(S508,$B$3:$M$63,5,FALSE)</f>
        <v>15.693391333931865</v>
      </c>
      <c r="X511" s="129"/>
      <c r="Y511" s="130">
        <v>0</v>
      </c>
    </row>
    <row r="512" spans="19:25" x14ac:dyDescent="0.2">
      <c r="S512" s="131"/>
      <c r="T512" s="127"/>
      <c r="U512" s="127">
        <f>+(T508-1)*10+5</f>
        <v>425</v>
      </c>
      <c r="V512" s="128" t="s">
        <v>234</v>
      </c>
      <c r="W512" s="129">
        <f>VLOOKUP(S508,$B$3:$M$63,6,FALSE)</f>
        <v>21.802999816889173</v>
      </c>
      <c r="X512" s="129"/>
      <c r="Y512" s="130">
        <v>0</v>
      </c>
    </row>
    <row r="513" spans="19:25" x14ac:dyDescent="0.2">
      <c r="S513" s="131"/>
      <c r="T513" s="127"/>
      <c r="U513" s="127">
        <f>+(T508-1)*10+6</f>
        <v>426</v>
      </c>
      <c r="V513" s="128" t="s">
        <v>235</v>
      </c>
      <c r="W513" s="129">
        <f>VLOOKUP(S508,$B$3:$M$63,7,FALSE)</f>
        <v>8.3857691603419902</v>
      </c>
      <c r="X513" s="129"/>
      <c r="Y513" s="130">
        <v>0</v>
      </c>
    </row>
    <row r="514" spans="19:25" x14ac:dyDescent="0.2">
      <c r="S514" s="131"/>
      <c r="T514" s="127"/>
      <c r="U514" s="127">
        <f>+(T508-1)*10+7</f>
        <v>427</v>
      </c>
      <c r="V514" s="128" t="s">
        <v>236</v>
      </c>
      <c r="W514" s="129">
        <f>VLOOKUP(S508,$B$3:$M$63,8,FALSE)</f>
        <v>55.34607645825713</v>
      </c>
      <c r="X514" s="129">
        <f>VLOOKUP(S508,$B$3:$M$63,11,FALSE)</f>
        <v>11.139099108976044</v>
      </c>
      <c r="Y514" s="130">
        <v>0</v>
      </c>
    </row>
    <row r="515" spans="19:25" x14ac:dyDescent="0.2">
      <c r="S515" s="131"/>
      <c r="T515" s="127"/>
      <c r="U515" s="127">
        <f>+(T508-1)*10+8</f>
        <v>428</v>
      </c>
      <c r="V515" s="128" t="s">
        <v>237</v>
      </c>
      <c r="W515" s="129"/>
      <c r="X515" s="129"/>
      <c r="Y515" s="130"/>
    </row>
    <row r="516" spans="19:25" x14ac:dyDescent="0.2">
      <c r="S516" s="131"/>
      <c r="T516" s="127"/>
      <c r="U516" s="127">
        <f>+(T508-1)*10+9</f>
        <v>429</v>
      </c>
      <c r="V516" s="128" t="s">
        <v>238</v>
      </c>
      <c r="W516" s="129">
        <f>VLOOKUP(S508,$B$3:$M$63,9,FALSE)</f>
        <v>34.494526010300362</v>
      </c>
      <c r="X516" s="129">
        <f>VLOOKUP(S508,$B$3:$M$63,12,FALSE)</f>
        <v>2.9313418707831693</v>
      </c>
      <c r="Y516" s="130">
        <v>0</v>
      </c>
    </row>
    <row r="517" spans="19:25" x14ac:dyDescent="0.2">
      <c r="T517" s="132"/>
      <c r="U517" s="127">
        <f>+(T508-1)*10+10</f>
        <v>430</v>
      </c>
      <c r="V517" s="123" t="s">
        <v>324</v>
      </c>
      <c r="W517" s="133">
        <f>SUM(W508:W516)</f>
        <v>187.45095549493823</v>
      </c>
      <c r="X517" s="133">
        <f>SUM(X508:X516)</f>
        <v>59.21310578982002</v>
      </c>
      <c r="Y517" s="125">
        <v>0</v>
      </c>
    </row>
    <row r="518" spans="19:25" x14ac:dyDescent="0.2">
      <c r="T518" s="132"/>
      <c r="U518" s="132"/>
      <c r="V518" s="132"/>
      <c r="W518" s="132"/>
      <c r="X518" s="132"/>
      <c r="Y518" s="132"/>
    </row>
    <row r="519" spans="19:25" x14ac:dyDescent="0.2">
      <c r="S519" s="122"/>
      <c r="T519" s="122"/>
      <c r="U519" s="122"/>
      <c r="V519" s="123" t="s">
        <v>227</v>
      </c>
      <c r="W519" s="124" t="s">
        <v>228</v>
      </c>
      <c r="X519" s="124" t="s">
        <v>229</v>
      </c>
      <c r="Y519" s="125" t="s">
        <v>239</v>
      </c>
    </row>
    <row r="520" spans="19:25" ht="30" x14ac:dyDescent="0.2">
      <c r="S520" s="126" t="str">
        <f>VLOOKUP(T520,$A$3:$P$63,2,FALSE)</f>
        <v>Residential care home</v>
      </c>
      <c r="T520" s="127">
        <f>+T508+1</f>
        <v>44</v>
      </c>
      <c r="U520" s="127">
        <f>+(T520-1)*10+1</f>
        <v>431</v>
      </c>
      <c r="V520" s="128" t="s">
        <v>230</v>
      </c>
      <c r="W520" s="129">
        <f>VLOOKUP(S520,$B$3:$M$63,2,FALSE)</f>
        <v>13.608882716589996</v>
      </c>
      <c r="X520" s="129">
        <f>VLOOKUP(S520,$B$3:$M$63,10,FALSE)</f>
        <v>204.86330214859197</v>
      </c>
      <c r="Y520" s="130">
        <v>0</v>
      </c>
    </row>
    <row r="521" spans="19:25" x14ac:dyDescent="0.2">
      <c r="S521" s="131"/>
      <c r="T521" s="127"/>
      <c r="U521" s="127">
        <f>+(T520-1)*10+2</f>
        <v>432</v>
      </c>
      <c r="V521" s="128" t="s">
        <v>314</v>
      </c>
      <c r="W521" s="129">
        <f>VLOOKUP(S520,$B$3:$M$63,3,FALSE)</f>
        <v>1.7056259908354172</v>
      </c>
      <c r="X521" s="129"/>
      <c r="Y521" s="130">
        <v>0</v>
      </c>
    </row>
    <row r="522" spans="19:25" x14ac:dyDescent="0.2">
      <c r="S522" s="131"/>
      <c r="T522" s="127"/>
      <c r="U522" s="127">
        <f>+(T520-1)*10+3</f>
        <v>433</v>
      </c>
      <c r="V522" s="128" t="s">
        <v>232</v>
      </c>
      <c r="W522" s="129">
        <f>VLOOKUP(S520,$B$3:$M$63,4,FALSE)</f>
        <v>0.21877869582036308</v>
      </c>
      <c r="X522" s="129"/>
      <c r="Y522" s="130">
        <v>0</v>
      </c>
    </row>
    <row r="523" spans="19:25" x14ac:dyDescent="0.2">
      <c r="S523" s="131"/>
      <c r="T523" s="127"/>
      <c r="U523" s="127">
        <f>+(T520-1)*10+4</f>
        <v>434</v>
      </c>
      <c r="V523" s="128" t="s">
        <v>317</v>
      </c>
      <c r="W523" s="129">
        <f>VLOOKUP(S520,$B$3:$M$63,5,FALSE)</f>
        <v>0.21877869582036308</v>
      </c>
      <c r="X523" s="129"/>
      <c r="Y523" s="130">
        <v>0</v>
      </c>
    </row>
    <row r="524" spans="19:25" x14ac:dyDescent="0.2">
      <c r="S524" s="131"/>
      <c r="T524" s="127"/>
      <c r="U524" s="127">
        <f>+(T520-1)*10+5</f>
        <v>435</v>
      </c>
      <c r="V524" s="128" t="s">
        <v>234</v>
      </c>
      <c r="W524" s="129">
        <f>VLOOKUP(S520,$B$3:$M$63,6,FALSE)</f>
        <v>2.1877869582036307</v>
      </c>
      <c r="X524" s="129"/>
      <c r="Y524" s="130">
        <v>0</v>
      </c>
    </row>
    <row r="525" spans="19:25" x14ac:dyDescent="0.2">
      <c r="S525" s="131"/>
      <c r="T525" s="127"/>
      <c r="U525" s="127">
        <f>+(T520-1)*10+6</f>
        <v>436</v>
      </c>
      <c r="V525" s="128" t="s">
        <v>235</v>
      </c>
      <c r="W525" s="129">
        <f>VLOOKUP(S520,$B$3:$M$63,7,FALSE)</f>
        <v>0</v>
      </c>
      <c r="X525" s="129"/>
      <c r="Y525" s="130">
        <v>0</v>
      </c>
    </row>
    <row r="526" spans="19:25" x14ac:dyDescent="0.2">
      <c r="S526" s="131"/>
      <c r="T526" s="127"/>
      <c r="U526" s="127">
        <f>+(T520-1)*10+7</f>
        <v>437</v>
      </c>
      <c r="V526" s="128" t="s">
        <v>236</v>
      </c>
      <c r="W526" s="129">
        <f>VLOOKUP(S520,$B$3:$M$63,8,FALSE)</f>
        <v>24.065656540239935</v>
      </c>
      <c r="X526" s="129">
        <f>VLOOKUP(S520,$B$3:$M$63,11,FALSE)</f>
        <v>74.291087592346528</v>
      </c>
      <c r="Y526" s="130">
        <v>0</v>
      </c>
    </row>
    <row r="527" spans="19:25" x14ac:dyDescent="0.2">
      <c r="S527" s="131"/>
      <c r="T527" s="127"/>
      <c r="U527" s="127">
        <f>+(T520-1)*10+8</f>
        <v>438</v>
      </c>
      <c r="V527" s="128" t="s">
        <v>237</v>
      </c>
      <c r="W527" s="129"/>
      <c r="X527" s="129"/>
      <c r="Y527" s="130"/>
    </row>
    <row r="528" spans="19:25" x14ac:dyDescent="0.2">
      <c r="S528" s="131"/>
      <c r="T528" s="127"/>
      <c r="U528" s="127">
        <f>+(T520-1)*10+9</f>
        <v>439</v>
      </c>
      <c r="V528" s="128" t="s">
        <v>238</v>
      </c>
      <c r="W528" s="129">
        <f>VLOOKUP(S520,$B$3:$M$63,9,FALSE)</f>
        <v>44.996870705461532</v>
      </c>
      <c r="X528" s="129">
        <f>VLOOKUP(S520,$B$3:$M$63,12,FALSE)</f>
        <v>18.009960628447644</v>
      </c>
      <c r="Y528" s="130">
        <v>0</v>
      </c>
    </row>
    <row r="529" spans="19:25" x14ac:dyDescent="0.2">
      <c r="T529" s="132"/>
      <c r="U529" s="127">
        <f>+(T520-1)*10+10</f>
        <v>440</v>
      </c>
      <c r="V529" s="123" t="s">
        <v>324</v>
      </c>
      <c r="W529" s="133">
        <f>SUM(W520:W528)</f>
        <v>87.002380302971233</v>
      </c>
      <c r="X529" s="133">
        <f>SUM(X520:X528)</f>
        <v>297.16435036938611</v>
      </c>
      <c r="Y529" s="125">
        <v>0</v>
      </c>
    </row>
    <row r="530" spans="19:25" x14ac:dyDescent="0.2">
      <c r="T530" s="132"/>
      <c r="U530" s="132"/>
      <c r="V530" s="132"/>
      <c r="W530" s="132"/>
      <c r="X530" s="132"/>
      <c r="Y530" s="132"/>
    </row>
    <row r="531" spans="19:25" x14ac:dyDescent="0.2">
      <c r="S531" s="122"/>
      <c r="T531" s="122"/>
      <c r="U531" s="122"/>
      <c r="V531" s="123" t="s">
        <v>227</v>
      </c>
      <c r="W531" s="124" t="s">
        <v>228</v>
      </c>
      <c r="X531" s="124" t="s">
        <v>229</v>
      </c>
      <c r="Y531" s="125" t="s">
        <v>239</v>
      </c>
    </row>
    <row r="532" spans="19:25" ht="75" x14ac:dyDescent="0.2">
      <c r="S532" s="126" t="str">
        <f>VLOOKUP(T532,$A$3:$P$63,2,FALSE)</f>
        <v>Residential college or school (halls of residence)</v>
      </c>
      <c r="T532" s="127">
        <f>+T520+1</f>
        <v>45</v>
      </c>
      <c r="U532" s="127">
        <f>+(T532-1)*10+1</f>
        <v>441</v>
      </c>
      <c r="V532" s="128" t="s">
        <v>230</v>
      </c>
      <c r="W532" s="129">
        <f>VLOOKUP(S532,$B$3:$M$63,2,FALSE)</f>
        <v>13.608882716589996</v>
      </c>
      <c r="X532" s="129">
        <f>VLOOKUP(S532,$B$3:$M$63,10,FALSE)</f>
        <v>204.86330214859197</v>
      </c>
      <c r="Y532" s="130">
        <v>0</v>
      </c>
    </row>
    <row r="533" spans="19:25" x14ac:dyDescent="0.2">
      <c r="S533" s="131"/>
      <c r="T533" s="127"/>
      <c r="U533" s="127">
        <f>+(T532-1)*10+2</f>
        <v>442</v>
      </c>
      <c r="V533" s="128" t="s">
        <v>314</v>
      </c>
      <c r="W533" s="129">
        <f>VLOOKUP(S532,$B$3:$M$63,3,FALSE)</f>
        <v>1.7056259908354172</v>
      </c>
      <c r="X533" s="129"/>
      <c r="Y533" s="130">
        <v>0</v>
      </c>
    </row>
    <row r="534" spans="19:25" x14ac:dyDescent="0.2">
      <c r="S534" s="131"/>
      <c r="T534" s="127"/>
      <c r="U534" s="127">
        <f>+(T532-1)*10+3</f>
        <v>443</v>
      </c>
      <c r="V534" s="128" t="s">
        <v>232</v>
      </c>
      <c r="W534" s="129">
        <f>VLOOKUP(S532,$B$3:$M$63,4,FALSE)</f>
        <v>0.21877869582036308</v>
      </c>
      <c r="X534" s="129"/>
      <c r="Y534" s="130">
        <v>0</v>
      </c>
    </row>
    <row r="535" spans="19:25" x14ac:dyDescent="0.2">
      <c r="S535" s="131"/>
      <c r="T535" s="127"/>
      <c r="U535" s="127">
        <f>+(T532-1)*10+4</f>
        <v>444</v>
      </c>
      <c r="V535" s="128" t="s">
        <v>317</v>
      </c>
      <c r="W535" s="129">
        <f>VLOOKUP(S532,$B$3:$M$63,5,FALSE)</f>
        <v>0.21877869582036308</v>
      </c>
      <c r="X535" s="129"/>
      <c r="Y535" s="130">
        <v>0</v>
      </c>
    </row>
    <row r="536" spans="19:25" x14ac:dyDescent="0.2">
      <c r="S536" s="131"/>
      <c r="T536" s="127"/>
      <c r="U536" s="127">
        <f>+(T532-1)*10+5</f>
        <v>445</v>
      </c>
      <c r="V536" s="128" t="s">
        <v>234</v>
      </c>
      <c r="W536" s="129">
        <f>VLOOKUP(S532,$B$3:$M$63,6,FALSE)</f>
        <v>2.1877869582036307</v>
      </c>
      <c r="X536" s="129"/>
      <c r="Y536" s="130">
        <v>0</v>
      </c>
    </row>
    <row r="537" spans="19:25" x14ac:dyDescent="0.2">
      <c r="S537" s="131"/>
      <c r="T537" s="127"/>
      <c r="U537" s="127">
        <f>+(T532-1)*10+6</f>
        <v>446</v>
      </c>
      <c r="V537" s="128" t="s">
        <v>235</v>
      </c>
      <c r="W537" s="129">
        <f>VLOOKUP(S532,$B$3:$M$63,7,FALSE)</f>
        <v>0</v>
      </c>
      <c r="X537" s="129"/>
      <c r="Y537" s="130">
        <v>0</v>
      </c>
    </row>
    <row r="538" spans="19:25" x14ac:dyDescent="0.2">
      <c r="S538" s="131"/>
      <c r="T538" s="127"/>
      <c r="U538" s="127">
        <f>+(T532-1)*10+7</f>
        <v>447</v>
      </c>
      <c r="V538" s="128" t="s">
        <v>236</v>
      </c>
      <c r="W538" s="129">
        <f>VLOOKUP(S532,$B$3:$M$63,8,FALSE)</f>
        <v>24.065656540239935</v>
      </c>
      <c r="X538" s="129">
        <f>VLOOKUP(S532,$B$3:$M$63,11,FALSE)</f>
        <v>74.291087592346528</v>
      </c>
      <c r="Y538" s="130">
        <v>0</v>
      </c>
    </row>
    <row r="539" spans="19:25" x14ac:dyDescent="0.2">
      <c r="S539" s="131"/>
      <c r="T539" s="127"/>
      <c r="U539" s="127">
        <f>+(T532-1)*10+8</f>
        <v>448</v>
      </c>
      <c r="V539" s="128" t="s">
        <v>237</v>
      </c>
      <c r="W539" s="129"/>
      <c r="X539" s="129"/>
      <c r="Y539" s="130"/>
    </row>
    <row r="540" spans="19:25" x14ac:dyDescent="0.2">
      <c r="S540" s="131"/>
      <c r="T540" s="127"/>
      <c r="U540" s="127">
        <f>+(T532-1)*10+9</f>
        <v>449</v>
      </c>
      <c r="V540" s="128" t="s">
        <v>238</v>
      </c>
      <c r="W540" s="129">
        <f>VLOOKUP(S532,$B$3:$M$63,9,FALSE)</f>
        <v>44.996870705461532</v>
      </c>
      <c r="X540" s="129">
        <f>VLOOKUP(S532,$B$3:$M$63,12,FALSE)</f>
        <v>18.009960628447644</v>
      </c>
      <c r="Y540" s="130">
        <v>0</v>
      </c>
    </row>
    <row r="541" spans="19:25" x14ac:dyDescent="0.2">
      <c r="T541" s="132"/>
      <c r="U541" s="127">
        <f>+(T532-1)*10+10</f>
        <v>450</v>
      </c>
      <c r="V541" s="123" t="s">
        <v>324</v>
      </c>
      <c r="W541" s="133">
        <f>SUM(W532:W540)</f>
        <v>87.002380302971233</v>
      </c>
      <c r="X541" s="133">
        <f>SUM(X532:X540)</f>
        <v>297.16435036938611</v>
      </c>
      <c r="Y541" s="125">
        <v>0</v>
      </c>
    </row>
    <row r="542" spans="19:25" x14ac:dyDescent="0.2">
      <c r="T542" s="132"/>
      <c r="U542" s="132"/>
      <c r="V542" s="132"/>
      <c r="W542" s="132"/>
      <c r="X542" s="132"/>
      <c r="Y542" s="132"/>
    </row>
    <row r="543" spans="19:25" x14ac:dyDescent="0.2">
      <c r="S543" s="122"/>
      <c r="T543" s="122"/>
      <c r="U543" s="122"/>
      <c r="V543" s="123" t="s">
        <v>227</v>
      </c>
      <c r="W543" s="124" t="s">
        <v>228</v>
      </c>
      <c r="X543" s="124" t="s">
        <v>229</v>
      </c>
      <c r="Y543" s="125" t="s">
        <v>239</v>
      </c>
    </row>
    <row r="544" spans="19:25" ht="30" x14ac:dyDescent="0.2">
      <c r="S544" s="126" t="str">
        <f>VLOOKUP(T544,$A$3:$P$63,2,FALSE)</f>
        <v>Sheltered housing</v>
      </c>
      <c r="T544" s="127">
        <f>+T532+1</f>
        <v>46</v>
      </c>
      <c r="U544" s="127">
        <f>+(T544-1)*10+1</f>
        <v>451</v>
      </c>
      <c r="V544" s="128" t="s">
        <v>230</v>
      </c>
      <c r="W544" s="129">
        <f>VLOOKUP(S544,$B$3:$M$63,2,FALSE)</f>
        <v>37.037968981496967</v>
      </c>
      <c r="X544" s="129">
        <f>VLOOKUP(S544,$B$3:$M$63,10,FALSE)</f>
        <v>31.79691668940178</v>
      </c>
      <c r="Y544" s="130">
        <v>0</v>
      </c>
    </row>
    <row r="545" spans="19:25" x14ac:dyDescent="0.2">
      <c r="S545" s="131"/>
      <c r="T545" s="127"/>
      <c r="U545" s="127">
        <f>+(T544-1)*10+2</f>
        <v>452</v>
      </c>
      <c r="V545" s="128" t="s">
        <v>314</v>
      </c>
      <c r="W545" s="129">
        <f>VLOOKUP(S544,$B$3:$M$63,3,FALSE)</f>
        <v>4.6420359303696443</v>
      </c>
      <c r="X545" s="129"/>
      <c r="Y545" s="130">
        <v>0</v>
      </c>
    </row>
    <row r="546" spans="19:25" x14ac:dyDescent="0.2">
      <c r="S546" s="131"/>
      <c r="T546" s="127"/>
      <c r="U546" s="127">
        <f>+(T544-1)*10+3</f>
        <v>453</v>
      </c>
      <c r="V546" s="128" t="s">
        <v>232</v>
      </c>
      <c r="W546" s="129">
        <f>VLOOKUP(S544,$B$3:$M$63,4,FALSE)</f>
        <v>0.5954286415980945</v>
      </c>
      <c r="X546" s="129"/>
      <c r="Y546" s="130">
        <v>0</v>
      </c>
    </row>
    <row r="547" spans="19:25" x14ac:dyDescent="0.2">
      <c r="S547" s="131"/>
      <c r="T547" s="127"/>
      <c r="U547" s="127">
        <f>+(T544-1)*10+4</f>
        <v>454</v>
      </c>
      <c r="V547" s="128" t="s">
        <v>317</v>
      </c>
      <c r="W547" s="129">
        <f>VLOOKUP(S544,$B$3:$M$63,5,FALSE)</f>
        <v>0.5954286415980945</v>
      </c>
      <c r="X547" s="129"/>
      <c r="Y547" s="130">
        <v>0</v>
      </c>
    </row>
    <row r="548" spans="19:25" x14ac:dyDescent="0.2">
      <c r="S548" s="131"/>
      <c r="T548" s="127"/>
      <c r="U548" s="127">
        <f>+(T544-1)*10+5</f>
        <v>455</v>
      </c>
      <c r="V548" s="128" t="s">
        <v>234</v>
      </c>
      <c r="W548" s="129">
        <f>VLOOKUP(S544,$B$3:$M$63,6,FALSE)</f>
        <v>5.9542864159809445</v>
      </c>
      <c r="X548" s="129"/>
      <c r="Y548" s="130">
        <v>0</v>
      </c>
    </row>
    <row r="549" spans="19:25" x14ac:dyDescent="0.2">
      <c r="S549" s="131"/>
      <c r="T549" s="127"/>
      <c r="U549" s="127">
        <f>+(T544-1)*10+6</f>
        <v>456</v>
      </c>
      <c r="V549" s="128" t="s">
        <v>235</v>
      </c>
      <c r="W549" s="129">
        <f>VLOOKUP(S544,$B$3:$M$63,7,FALSE)</f>
        <v>0</v>
      </c>
      <c r="X549" s="129"/>
      <c r="Y549" s="130">
        <v>0</v>
      </c>
    </row>
    <row r="550" spans="19:25" x14ac:dyDescent="0.2">
      <c r="S550" s="131"/>
      <c r="T550" s="127"/>
      <c r="U550" s="127">
        <f>+(T544-1)*10+7</f>
        <v>457</v>
      </c>
      <c r="V550" s="128" t="s">
        <v>236</v>
      </c>
      <c r="W550" s="129">
        <f>VLOOKUP(S544,$B$3:$M$63,8,FALSE)</f>
        <v>65.4971505757904</v>
      </c>
      <c r="X550" s="129">
        <f>VLOOKUP(S544,$B$3:$M$63,11,FALSE)</f>
        <v>11.530750008244601</v>
      </c>
      <c r="Y550" s="130">
        <v>0</v>
      </c>
    </row>
    <row r="551" spans="19:25" x14ac:dyDescent="0.2">
      <c r="S551" s="131"/>
      <c r="T551" s="127"/>
      <c r="U551" s="127">
        <f>+(T544-1)*10+8</f>
        <v>458</v>
      </c>
      <c r="V551" s="128" t="s">
        <v>237</v>
      </c>
      <c r="W551" s="129"/>
      <c r="X551" s="129"/>
      <c r="Y551" s="130"/>
    </row>
    <row r="552" spans="19:25" x14ac:dyDescent="0.2">
      <c r="S552" s="131"/>
      <c r="T552" s="127"/>
      <c r="U552" s="127">
        <f>+(T544-1)*10+9</f>
        <v>459</v>
      </c>
      <c r="V552" s="128" t="s">
        <v>238</v>
      </c>
      <c r="W552" s="129">
        <f>VLOOKUP(S544,$B$3:$M$63,9,FALSE)</f>
        <v>122.46359500340489</v>
      </c>
      <c r="X552" s="129">
        <f>VLOOKUP(S544,$B$3:$M$63,12,FALSE)</f>
        <v>2.7953333353320247</v>
      </c>
      <c r="Y552" s="130">
        <v>0</v>
      </c>
    </row>
    <row r="553" spans="19:25" x14ac:dyDescent="0.2">
      <c r="T553" s="132"/>
      <c r="U553" s="127">
        <f>+(T544-1)*10+10</f>
        <v>460</v>
      </c>
      <c r="V553" s="123" t="s">
        <v>324</v>
      </c>
      <c r="W553" s="133">
        <f>SUM(W544:W552)</f>
        <v>236.78589419023905</v>
      </c>
      <c r="X553" s="133">
        <f>SUM(X544:X552)</f>
        <v>46.123000032978403</v>
      </c>
      <c r="Y553" s="125">
        <v>0</v>
      </c>
    </row>
    <row r="554" spans="19:25" x14ac:dyDescent="0.2">
      <c r="T554" s="132"/>
      <c r="U554" s="132"/>
      <c r="V554" s="132"/>
      <c r="W554" s="132"/>
      <c r="X554" s="132"/>
      <c r="Y554" s="132"/>
    </row>
    <row r="555" spans="19:25" x14ac:dyDescent="0.2">
      <c r="S555" s="122"/>
      <c r="T555" s="122"/>
      <c r="U555" s="122"/>
      <c r="V555" s="123" t="s">
        <v>227</v>
      </c>
      <c r="W555" s="124" t="s">
        <v>228</v>
      </c>
      <c r="X555" s="124" t="s">
        <v>229</v>
      </c>
      <c r="Y555" s="125" t="s">
        <v>239</v>
      </c>
    </row>
    <row r="556" spans="19:25" ht="45" x14ac:dyDescent="0.2">
      <c r="S556" s="126" t="str">
        <f>VLOOKUP(T556,$A$3:$P$63,2,FALSE)</f>
        <v>Short stay housing units</v>
      </c>
      <c r="T556" s="127">
        <f>+T544+1</f>
        <v>47</v>
      </c>
      <c r="U556" s="127">
        <f>+(T556-1)*10+1</f>
        <v>461</v>
      </c>
      <c r="V556" s="128" t="s">
        <v>230</v>
      </c>
      <c r="W556" s="129">
        <f>VLOOKUP(S556,$B$3:$M$63,2,FALSE)</f>
        <v>13.295397131230294</v>
      </c>
      <c r="X556" s="129">
        <f>VLOOKUP(S556,$B$3:$M$63,10,FALSE)</f>
        <v>70.75765536273417</v>
      </c>
      <c r="Y556" s="130">
        <v>0</v>
      </c>
    </row>
    <row r="557" spans="19:25" x14ac:dyDescent="0.2">
      <c r="S557" s="131"/>
      <c r="T557" s="127"/>
      <c r="U557" s="127">
        <f>+(T556-1)*10+2</f>
        <v>462</v>
      </c>
      <c r="V557" s="128" t="s">
        <v>314</v>
      </c>
      <c r="W557" s="129">
        <f>VLOOKUP(S556,$B$3:$M$63,3,FALSE)</f>
        <v>1.666336272988856</v>
      </c>
      <c r="X557" s="129"/>
      <c r="Y557" s="130">
        <v>0</v>
      </c>
    </row>
    <row r="558" spans="19:25" x14ac:dyDescent="0.2">
      <c r="S558" s="131"/>
      <c r="T558" s="127"/>
      <c r="U558" s="127">
        <f>+(T556-1)*10+3</f>
        <v>463</v>
      </c>
      <c r="V558" s="128" t="s">
        <v>232</v>
      </c>
      <c r="W558" s="129">
        <f>VLOOKUP(S556,$B$3:$M$63,4,FALSE)</f>
        <v>0.21373904863170215</v>
      </c>
      <c r="X558" s="129"/>
      <c r="Y558" s="130">
        <v>0</v>
      </c>
    </row>
    <row r="559" spans="19:25" x14ac:dyDescent="0.2">
      <c r="S559" s="131"/>
      <c r="T559" s="127"/>
      <c r="U559" s="127">
        <f>+(T556-1)*10+4</f>
        <v>464</v>
      </c>
      <c r="V559" s="128" t="s">
        <v>317</v>
      </c>
      <c r="W559" s="129">
        <f>VLOOKUP(S556,$B$3:$M$63,5,FALSE)</f>
        <v>0.21373904863170215</v>
      </c>
      <c r="X559" s="129"/>
      <c r="Y559" s="130">
        <v>0</v>
      </c>
    </row>
    <row r="560" spans="19:25" x14ac:dyDescent="0.2">
      <c r="S560" s="131"/>
      <c r="T560" s="127"/>
      <c r="U560" s="127">
        <f>+(T556-1)*10+5</f>
        <v>465</v>
      </c>
      <c r="V560" s="128" t="s">
        <v>234</v>
      </c>
      <c r="W560" s="129">
        <f>VLOOKUP(S556,$B$3:$M$63,6,FALSE)</f>
        <v>2.1373904863170217</v>
      </c>
      <c r="X560" s="129"/>
      <c r="Y560" s="130">
        <v>0</v>
      </c>
    </row>
    <row r="561" spans="19:25" x14ac:dyDescent="0.2">
      <c r="S561" s="131"/>
      <c r="T561" s="127"/>
      <c r="U561" s="127">
        <f>+(T556-1)*10+6</f>
        <v>466</v>
      </c>
      <c r="V561" s="128" t="s">
        <v>235</v>
      </c>
      <c r="W561" s="129">
        <f>VLOOKUP(S556,$B$3:$M$63,7,FALSE)</f>
        <v>0</v>
      </c>
      <c r="X561" s="129"/>
      <c r="Y561" s="130">
        <v>0</v>
      </c>
    </row>
    <row r="562" spans="19:25" x14ac:dyDescent="0.2">
      <c r="S562" s="131"/>
      <c r="T562" s="127"/>
      <c r="U562" s="127">
        <f>+(T556-1)*10+7</f>
        <v>467</v>
      </c>
      <c r="V562" s="128" t="s">
        <v>236</v>
      </c>
      <c r="W562" s="129">
        <f>VLOOKUP(S556,$B$3:$M$63,8,FALSE)</f>
        <v>23.511295349487234</v>
      </c>
      <c r="X562" s="129">
        <f>VLOOKUP(S556,$B$3:$M$63,11,FALSE)</f>
        <v>25.659369527145358</v>
      </c>
      <c r="Y562" s="130">
        <v>0</v>
      </c>
    </row>
    <row r="563" spans="19:25" x14ac:dyDescent="0.2">
      <c r="S563" s="131"/>
      <c r="T563" s="127"/>
      <c r="U563" s="127">
        <f>+(T556-1)*10+8</f>
        <v>468</v>
      </c>
      <c r="V563" s="128" t="s">
        <v>237</v>
      </c>
      <c r="W563" s="129"/>
      <c r="X563" s="129"/>
      <c r="Y563" s="130"/>
    </row>
    <row r="564" spans="19:25" x14ac:dyDescent="0.2">
      <c r="S564" s="131"/>
      <c r="T564" s="127"/>
      <c r="U564" s="127">
        <f>+(T556-1)*10+9</f>
        <v>469</v>
      </c>
      <c r="V564" s="128" t="s">
        <v>238</v>
      </c>
      <c r="W564" s="129">
        <f>VLOOKUP(S556,$B$3:$M$63,9,FALSE)</f>
        <v>43.960351349228077</v>
      </c>
      <c r="X564" s="129">
        <f>VLOOKUP(S556,$B$3:$M$63,12,FALSE)</f>
        <v>6.2204532187019055</v>
      </c>
      <c r="Y564" s="130">
        <v>0</v>
      </c>
    </row>
    <row r="565" spans="19:25" x14ac:dyDescent="0.2">
      <c r="T565" s="132"/>
      <c r="U565" s="127">
        <f>+(T556-1)*10+10</f>
        <v>470</v>
      </c>
      <c r="V565" s="123" t="s">
        <v>324</v>
      </c>
      <c r="W565" s="133">
        <f>SUM(W556:W564)</f>
        <v>84.998248686514884</v>
      </c>
      <c r="X565" s="133">
        <f>SUM(X556:X564)</f>
        <v>102.63747810858143</v>
      </c>
      <c r="Y565" s="125">
        <v>0</v>
      </c>
    </row>
    <row r="566" spans="19:25" x14ac:dyDescent="0.2">
      <c r="T566" s="132"/>
      <c r="U566" s="132"/>
      <c r="V566" s="132"/>
      <c r="W566" s="132"/>
      <c r="X566" s="132"/>
      <c r="Y566" s="132"/>
    </row>
    <row r="567" spans="19:25" x14ac:dyDescent="0.2">
      <c r="S567" s="122"/>
      <c r="T567" s="122"/>
      <c r="U567" s="122"/>
      <c r="V567" s="123" t="s">
        <v>227</v>
      </c>
      <c r="W567" s="124" t="s">
        <v>228</v>
      </c>
      <c r="X567" s="124" t="s">
        <v>229</v>
      </c>
      <c r="Y567" s="125" t="s">
        <v>239</v>
      </c>
    </row>
    <row r="568" spans="19:25" ht="75" x14ac:dyDescent="0.2">
      <c r="S568" s="126" t="str">
        <f>VLOOKUP(T568,$A$3:$P$63,2,FALSE)</f>
        <v>Supportive Housing asset common areas*</v>
      </c>
      <c r="T568" s="127">
        <f>+T556+1</f>
        <v>48</v>
      </c>
      <c r="U568" s="127">
        <f>+(T568-1)*10+1</f>
        <v>471</v>
      </c>
      <c r="V568" s="128" t="s">
        <v>230</v>
      </c>
      <c r="W568" s="129">
        <f>VLOOKUP(S568,$B$3:$M$63,2,FALSE)</f>
        <v>22.34911479818129</v>
      </c>
      <c r="X568" s="129">
        <f>VLOOKUP(S568,$B$3:$M$63,10,FALSE)</f>
        <v>45.142664810060808</v>
      </c>
      <c r="Y568" s="130">
        <v>0</v>
      </c>
    </row>
    <row r="569" spans="19:25" x14ac:dyDescent="0.2">
      <c r="S569" s="131"/>
      <c r="T569" s="127"/>
      <c r="U569" s="127">
        <f>+(T568-1)*10+2</f>
        <v>472</v>
      </c>
      <c r="V569" s="128" t="s">
        <v>314</v>
      </c>
      <c r="W569" s="129">
        <f>VLOOKUP(S568,$B$3:$M$63,3,FALSE)</f>
        <v>14.548269507323461</v>
      </c>
      <c r="X569" s="129"/>
      <c r="Y569" s="130">
        <v>0</v>
      </c>
    </row>
    <row r="570" spans="19:25" x14ac:dyDescent="0.2">
      <c r="S570" s="131"/>
      <c r="T570" s="127"/>
      <c r="U570" s="127">
        <f>+(T568-1)*10+3</f>
        <v>473</v>
      </c>
      <c r="V570" s="128" t="s">
        <v>232</v>
      </c>
      <c r="W570" s="129">
        <f>VLOOKUP(S568,$B$3:$M$63,4,FALSE)</f>
        <v>14.83080840971297</v>
      </c>
      <c r="X570" s="129"/>
      <c r="Y570" s="130">
        <v>0</v>
      </c>
    </row>
    <row r="571" spans="19:25" x14ac:dyDescent="0.2">
      <c r="S571" s="131"/>
      <c r="T571" s="127"/>
      <c r="U571" s="127">
        <f>+(T568-1)*10+4</f>
        <v>474</v>
      </c>
      <c r="V571" s="128" t="s">
        <v>317</v>
      </c>
      <c r="W571" s="129">
        <f>VLOOKUP(S568,$B$3:$M$63,5,FALSE)</f>
        <v>15.693391333931865</v>
      </c>
      <c r="X571" s="129"/>
      <c r="Y571" s="130">
        <v>0</v>
      </c>
    </row>
    <row r="572" spans="19:25" x14ac:dyDescent="0.2">
      <c r="S572" s="131"/>
      <c r="T572" s="127"/>
      <c r="U572" s="127">
        <f>+(T568-1)*10+5</f>
        <v>475</v>
      </c>
      <c r="V572" s="128" t="s">
        <v>234</v>
      </c>
      <c r="W572" s="129">
        <f>VLOOKUP(S568,$B$3:$M$63,6,FALSE)</f>
        <v>21.802999816889173</v>
      </c>
      <c r="X572" s="129"/>
      <c r="Y572" s="130">
        <v>0</v>
      </c>
    </row>
    <row r="573" spans="19:25" x14ac:dyDescent="0.2">
      <c r="S573" s="131"/>
      <c r="T573" s="127"/>
      <c r="U573" s="127">
        <f>+(T568-1)*10+6</f>
        <v>476</v>
      </c>
      <c r="V573" s="128" t="s">
        <v>235</v>
      </c>
      <c r="W573" s="129">
        <f>VLOOKUP(S568,$B$3:$M$63,7,FALSE)</f>
        <v>8.3857691603419902</v>
      </c>
      <c r="X573" s="129"/>
      <c r="Y573" s="130">
        <v>0</v>
      </c>
    </row>
    <row r="574" spans="19:25" x14ac:dyDescent="0.2">
      <c r="S574" s="131"/>
      <c r="T574" s="127"/>
      <c r="U574" s="127">
        <f>+(T568-1)*10+7</f>
        <v>477</v>
      </c>
      <c r="V574" s="128" t="s">
        <v>236</v>
      </c>
      <c r="W574" s="129">
        <f>VLOOKUP(S568,$B$3:$M$63,8,FALSE)</f>
        <v>55.34607645825713</v>
      </c>
      <c r="X574" s="129">
        <f>VLOOKUP(S568,$B$3:$M$63,11,FALSE)</f>
        <v>11.139099108976044</v>
      </c>
      <c r="Y574" s="130">
        <v>0</v>
      </c>
    </row>
    <row r="575" spans="19:25" x14ac:dyDescent="0.2">
      <c r="S575" s="131"/>
      <c r="T575" s="127"/>
      <c r="U575" s="127">
        <f>+(T568-1)*10+8</f>
        <v>478</v>
      </c>
      <c r="V575" s="128" t="s">
        <v>237</v>
      </c>
      <c r="W575" s="129"/>
      <c r="X575" s="129"/>
      <c r="Y575" s="130"/>
    </row>
    <row r="576" spans="19:25" x14ac:dyDescent="0.2">
      <c r="S576" s="131"/>
      <c r="T576" s="127"/>
      <c r="U576" s="127">
        <f>+(T568-1)*10+9</f>
        <v>479</v>
      </c>
      <c r="V576" s="128" t="s">
        <v>238</v>
      </c>
      <c r="W576" s="129">
        <f>VLOOKUP(S568,$B$3:$M$63,9,FALSE)</f>
        <v>34.494526010300362</v>
      </c>
      <c r="X576" s="129">
        <f>VLOOKUP(S568,$B$3:$M$63,12,FALSE)</f>
        <v>2.9313418707831693</v>
      </c>
      <c r="Y576" s="130">
        <v>0</v>
      </c>
    </row>
    <row r="577" spans="19:25" x14ac:dyDescent="0.2">
      <c r="T577" s="132"/>
      <c r="U577" s="127">
        <f>+(T568-1)*10+10</f>
        <v>480</v>
      </c>
      <c r="V577" s="123" t="s">
        <v>324</v>
      </c>
      <c r="W577" s="133">
        <f>SUM(W568:W576)</f>
        <v>187.45095549493823</v>
      </c>
      <c r="X577" s="133">
        <f>SUM(X568:X576)</f>
        <v>59.21310578982002</v>
      </c>
      <c r="Y577" s="125">
        <v>0</v>
      </c>
    </row>
    <row r="578" spans="19:25" x14ac:dyDescent="0.2">
      <c r="T578" s="132"/>
      <c r="U578" s="132"/>
      <c r="V578" s="132"/>
      <c r="W578" s="132"/>
      <c r="X578" s="132"/>
      <c r="Y578" s="132"/>
    </row>
    <row r="579" spans="19:25" x14ac:dyDescent="0.2">
      <c r="S579" s="122"/>
      <c r="T579" s="122"/>
      <c r="U579" s="122"/>
      <c r="V579" s="123" t="s">
        <v>227</v>
      </c>
      <c r="W579" s="124" t="s">
        <v>228</v>
      </c>
      <c r="X579" s="124" t="s">
        <v>229</v>
      </c>
      <c r="Y579" s="125" t="s">
        <v>239</v>
      </c>
    </row>
    <row r="580" spans="19:25" ht="30" x14ac:dyDescent="0.2">
      <c r="S580" s="126" t="str">
        <f>VLOOKUP(T580,$A$3:$P$63,2,FALSE)</f>
        <v>Department store</v>
      </c>
      <c r="T580" s="127">
        <f>+T568+1</f>
        <v>49</v>
      </c>
      <c r="U580" s="127">
        <f>+(T580-1)*10+1</f>
        <v>481</v>
      </c>
      <c r="V580" s="128" t="s">
        <v>230</v>
      </c>
      <c r="W580" s="129">
        <f>VLOOKUP(S580,$B$3:$M$63,2,FALSE)</f>
        <v>37.037968981496967</v>
      </c>
      <c r="X580" s="129">
        <f>VLOOKUP(S580,$B$3:$M$63,10,FALSE)</f>
        <v>31.79691668940178</v>
      </c>
      <c r="Y580" s="130">
        <v>0</v>
      </c>
    </row>
    <row r="581" spans="19:25" x14ac:dyDescent="0.2">
      <c r="S581" s="131"/>
      <c r="T581" s="127"/>
      <c r="U581" s="127">
        <f>+(T580-1)*10+2</f>
        <v>482</v>
      </c>
      <c r="V581" s="128" t="s">
        <v>314</v>
      </c>
      <c r="W581" s="129">
        <f>VLOOKUP(S580,$B$3:$M$63,3,FALSE)</f>
        <v>4.6420359303696443</v>
      </c>
      <c r="X581" s="129"/>
      <c r="Y581" s="130">
        <v>0</v>
      </c>
    </row>
    <row r="582" spans="19:25" x14ac:dyDescent="0.2">
      <c r="S582" s="131"/>
      <c r="T582" s="127"/>
      <c r="U582" s="127">
        <f>+(T580-1)*10+3</f>
        <v>483</v>
      </c>
      <c r="V582" s="128" t="s">
        <v>232</v>
      </c>
      <c r="W582" s="129">
        <f>VLOOKUP(S580,$B$3:$M$63,4,FALSE)</f>
        <v>0.5954286415980945</v>
      </c>
      <c r="X582" s="129"/>
      <c r="Y582" s="130">
        <v>0</v>
      </c>
    </row>
    <row r="583" spans="19:25" x14ac:dyDescent="0.2">
      <c r="S583" s="131"/>
      <c r="T583" s="127"/>
      <c r="U583" s="127">
        <f>+(T580-1)*10+4</f>
        <v>484</v>
      </c>
      <c r="V583" s="128" t="s">
        <v>317</v>
      </c>
      <c r="W583" s="129">
        <f>VLOOKUP(S580,$B$3:$M$63,5,FALSE)</f>
        <v>0.5954286415980945</v>
      </c>
      <c r="X583" s="129"/>
      <c r="Y583" s="130">
        <v>0</v>
      </c>
    </row>
    <row r="584" spans="19:25" x14ac:dyDescent="0.2">
      <c r="S584" s="131"/>
      <c r="T584" s="127"/>
      <c r="U584" s="127">
        <f>+(T580-1)*10+5</f>
        <v>485</v>
      </c>
      <c r="V584" s="128" t="s">
        <v>234</v>
      </c>
      <c r="W584" s="129">
        <f>VLOOKUP(S580,$B$3:$M$63,6,FALSE)</f>
        <v>5.9542864159809445</v>
      </c>
      <c r="X584" s="129"/>
      <c r="Y584" s="130">
        <v>0</v>
      </c>
    </row>
    <row r="585" spans="19:25" x14ac:dyDescent="0.2">
      <c r="S585" s="131"/>
      <c r="T585" s="127"/>
      <c r="U585" s="127">
        <f>+(T580-1)*10+6</f>
        <v>486</v>
      </c>
      <c r="V585" s="128" t="s">
        <v>235</v>
      </c>
      <c r="W585" s="129">
        <f>VLOOKUP(S580,$B$3:$M$63,7,FALSE)</f>
        <v>0</v>
      </c>
      <c r="X585" s="129"/>
      <c r="Y585" s="130">
        <v>0</v>
      </c>
    </row>
    <row r="586" spans="19:25" x14ac:dyDescent="0.2">
      <c r="S586" s="131"/>
      <c r="T586" s="127"/>
      <c r="U586" s="127">
        <f>+(T580-1)*10+7</f>
        <v>487</v>
      </c>
      <c r="V586" s="128" t="s">
        <v>236</v>
      </c>
      <c r="W586" s="129">
        <f>VLOOKUP(S580,$B$3:$M$63,8,FALSE)</f>
        <v>65.4971505757904</v>
      </c>
      <c r="X586" s="129">
        <f>VLOOKUP(S580,$B$3:$M$63,11,FALSE)</f>
        <v>11.530750008244601</v>
      </c>
      <c r="Y586" s="130">
        <v>0</v>
      </c>
    </row>
    <row r="587" spans="19:25" x14ac:dyDescent="0.2">
      <c r="S587" s="131"/>
      <c r="T587" s="127"/>
      <c r="U587" s="127">
        <f>+(T580-1)*10+8</f>
        <v>488</v>
      </c>
      <c r="V587" s="128" t="s">
        <v>237</v>
      </c>
      <c r="W587" s="129"/>
      <c r="X587" s="129"/>
      <c r="Y587" s="130"/>
    </row>
    <row r="588" spans="19:25" x14ac:dyDescent="0.2">
      <c r="S588" s="131"/>
      <c r="T588" s="127"/>
      <c r="U588" s="127">
        <f>+(T580-1)*10+9</f>
        <v>489</v>
      </c>
      <c r="V588" s="128" t="s">
        <v>238</v>
      </c>
      <c r="W588" s="129">
        <f>VLOOKUP(S580,$B$3:$M$63,9,FALSE)</f>
        <v>122.46359500340489</v>
      </c>
      <c r="X588" s="129">
        <f>VLOOKUP(S580,$B$3:$M$63,12,FALSE)</f>
        <v>2.7953333353320247</v>
      </c>
      <c r="Y588" s="130">
        <v>0</v>
      </c>
    </row>
    <row r="589" spans="19:25" x14ac:dyDescent="0.2">
      <c r="T589" s="132"/>
      <c r="U589" s="127">
        <f>+(T580-1)*10+10</f>
        <v>490</v>
      </c>
      <c r="V589" s="123" t="s">
        <v>324</v>
      </c>
      <c r="W589" s="133">
        <f>SUM(W580:W588)</f>
        <v>236.78589419023905</v>
      </c>
      <c r="X589" s="133">
        <f>SUM(X580:X588)</f>
        <v>46.123000032978403</v>
      </c>
      <c r="Y589" s="125">
        <v>0</v>
      </c>
    </row>
    <row r="590" spans="19:25" x14ac:dyDescent="0.2">
      <c r="T590" s="132"/>
      <c r="U590" s="132"/>
      <c r="V590" s="132"/>
      <c r="W590" s="132"/>
      <c r="X590" s="132"/>
      <c r="Y590" s="132"/>
    </row>
    <row r="591" spans="19:25" x14ac:dyDescent="0.2">
      <c r="S591" s="122"/>
      <c r="T591" s="122"/>
      <c r="U591" s="122"/>
      <c r="V591" s="123" t="s">
        <v>227</v>
      </c>
      <c r="W591" s="124" t="s">
        <v>228</v>
      </c>
      <c r="X591" s="124" t="s">
        <v>229</v>
      </c>
      <c r="Y591" s="125" t="s">
        <v>239</v>
      </c>
    </row>
    <row r="592" spans="19:25" ht="30" x14ac:dyDescent="0.2">
      <c r="S592" s="126" t="str">
        <f>VLOOKUP(T592,$A$3:$P$63,2,FALSE)</f>
        <v>Distribution warehouse</v>
      </c>
      <c r="T592" s="127">
        <f>+T580+1</f>
        <v>50</v>
      </c>
      <c r="U592" s="127">
        <f>+(T592-1)*10+1</f>
        <v>491</v>
      </c>
      <c r="V592" s="128" t="s">
        <v>230</v>
      </c>
      <c r="W592" s="129">
        <f>VLOOKUP(S592,$B$3:$M$63,2,FALSE)</f>
        <v>12.123255602383859</v>
      </c>
      <c r="X592" s="129">
        <f>VLOOKUP(S592,$B$3:$M$63,10,FALSE)</f>
        <v>52.08874305571441</v>
      </c>
      <c r="Y592" s="130">
        <v>0</v>
      </c>
    </row>
    <row r="593" spans="19:25" x14ac:dyDescent="0.2">
      <c r="S593" s="131"/>
      <c r="T593" s="127"/>
      <c r="U593" s="127">
        <f>+(T592-1)*10+2</f>
        <v>492</v>
      </c>
      <c r="V593" s="128" t="s">
        <v>314</v>
      </c>
      <c r="W593" s="129">
        <f>VLOOKUP(S592,$B$3:$M$63,3,FALSE)</f>
        <v>0.23793116642539594</v>
      </c>
      <c r="X593" s="129"/>
      <c r="Y593" s="130">
        <v>0</v>
      </c>
    </row>
    <row r="594" spans="19:25" x14ac:dyDescent="0.2">
      <c r="S594" s="131"/>
      <c r="T594" s="127"/>
      <c r="U594" s="127">
        <f>+(T592-1)*10+3</f>
        <v>493</v>
      </c>
      <c r="V594" s="128" t="s">
        <v>232</v>
      </c>
      <c r="W594" s="129">
        <f>VLOOKUP(S592,$B$3:$M$63,4,FALSE)</f>
        <v>12.072148435885682</v>
      </c>
      <c r="X594" s="129"/>
      <c r="Y594" s="130">
        <v>0</v>
      </c>
    </row>
    <row r="595" spans="19:25" x14ac:dyDescent="0.2">
      <c r="S595" s="131"/>
      <c r="T595" s="127"/>
      <c r="U595" s="127">
        <f>+(T592-1)*10+4</f>
        <v>494</v>
      </c>
      <c r="V595" s="128" t="s">
        <v>317</v>
      </c>
      <c r="W595" s="129">
        <f>VLOOKUP(S592,$B$3:$M$63,5,FALSE)</f>
        <v>0.28903833292357251</v>
      </c>
      <c r="X595" s="129"/>
      <c r="Y595" s="130">
        <v>0</v>
      </c>
    </row>
    <row r="596" spans="19:25" x14ac:dyDescent="0.2">
      <c r="S596" s="131"/>
      <c r="T596" s="127"/>
      <c r="U596" s="127">
        <f>+(T592-1)*10+5</f>
        <v>495</v>
      </c>
      <c r="V596" s="128" t="s">
        <v>234</v>
      </c>
      <c r="W596" s="129">
        <f>VLOOKUP(S592,$B$3:$M$63,6,FALSE)</f>
        <v>7.2106922818053985</v>
      </c>
      <c r="X596" s="129"/>
      <c r="Y596" s="130">
        <v>0</v>
      </c>
    </row>
    <row r="597" spans="19:25" x14ac:dyDescent="0.2">
      <c r="S597" s="131"/>
      <c r="T597" s="127"/>
      <c r="U597" s="127">
        <f>+(T592-1)*10+6</f>
        <v>496</v>
      </c>
      <c r="V597" s="128" t="s">
        <v>235</v>
      </c>
      <c r="W597" s="129">
        <f>VLOOKUP(S592,$B$3:$M$63,7,FALSE)</f>
        <v>0</v>
      </c>
      <c r="X597" s="129"/>
      <c r="Y597" s="130">
        <v>0</v>
      </c>
    </row>
    <row r="598" spans="19:25" x14ac:dyDescent="0.2">
      <c r="S598" s="131"/>
      <c r="T598" s="127"/>
      <c r="U598" s="127">
        <f>+(T592-1)*10+7</f>
        <v>497</v>
      </c>
      <c r="V598" s="128" t="s">
        <v>236</v>
      </c>
      <c r="W598" s="129">
        <f>VLOOKUP(S592,$B$3:$M$63,8,FALSE)</f>
        <v>100.94969194527557</v>
      </c>
      <c r="X598" s="129">
        <f>VLOOKUP(S592,$B$3:$M$63,11,FALSE)</f>
        <v>0</v>
      </c>
      <c r="Y598" s="130">
        <v>0</v>
      </c>
    </row>
    <row r="599" spans="19:25" x14ac:dyDescent="0.2">
      <c r="S599" s="131"/>
      <c r="T599" s="127"/>
      <c r="U599" s="127">
        <f>+(T592-1)*10+8</f>
        <v>498</v>
      </c>
      <c r="V599" s="128" t="s">
        <v>237</v>
      </c>
      <c r="W599" s="129"/>
      <c r="X599" s="129"/>
      <c r="Y599" s="130"/>
    </row>
    <row r="600" spans="19:25" x14ac:dyDescent="0.2">
      <c r="S600" s="131"/>
      <c r="T600" s="127"/>
      <c r="U600" s="127">
        <f>+(T592-1)*10+9</f>
        <v>499</v>
      </c>
      <c r="V600" s="128" t="s">
        <v>238</v>
      </c>
      <c r="W600" s="129">
        <f>VLOOKUP(S592,$B$3:$M$63,9,FALSE)</f>
        <v>5.150494487003856</v>
      </c>
      <c r="X600" s="129">
        <f>VLOOKUP(S592,$B$3:$M$63,12,FALSE)</f>
        <v>0</v>
      </c>
      <c r="Y600" s="130">
        <v>0</v>
      </c>
    </row>
    <row r="601" spans="19:25" x14ac:dyDescent="0.2">
      <c r="T601" s="132"/>
      <c r="U601" s="127">
        <f>+(T592-1)*10+10</f>
        <v>500</v>
      </c>
      <c r="V601" s="123" t="s">
        <v>324</v>
      </c>
      <c r="W601" s="133">
        <f>SUM(W592:W600)</f>
        <v>138.03325225170335</v>
      </c>
      <c r="X601" s="133">
        <f>SUM(X592:X600)</f>
        <v>52.08874305571441</v>
      </c>
      <c r="Y601" s="125">
        <v>0</v>
      </c>
    </row>
    <row r="602" spans="19:25" x14ac:dyDescent="0.2">
      <c r="T602" s="132"/>
      <c r="U602" s="132"/>
      <c r="V602" s="132"/>
      <c r="W602" s="132"/>
      <c r="X602" s="132"/>
      <c r="Y602" s="132"/>
    </row>
    <row r="603" spans="19:25" x14ac:dyDescent="0.2">
      <c r="S603" s="122"/>
      <c r="T603" s="122"/>
      <c r="U603" s="122"/>
      <c r="V603" s="123" t="s">
        <v>227</v>
      </c>
      <c r="W603" s="124" t="s">
        <v>228</v>
      </c>
      <c r="X603" s="124" t="s">
        <v>229</v>
      </c>
      <c r="Y603" s="125" t="s">
        <v>239</v>
      </c>
    </row>
    <row r="604" spans="19:25" x14ac:dyDescent="0.2">
      <c r="S604" s="126" t="str">
        <f>VLOOKUP(T604,$A$3:$P$63,2,FALSE)</f>
        <v>Retail store</v>
      </c>
      <c r="T604" s="127">
        <f>+T592+1</f>
        <v>51</v>
      </c>
      <c r="U604" s="127">
        <f>+(T604-1)*10+1</f>
        <v>501</v>
      </c>
      <c r="V604" s="128" t="s">
        <v>230</v>
      </c>
      <c r="W604" s="129">
        <f>VLOOKUP(S604,$B$3:$M$63,2,FALSE)</f>
        <v>37.037968981496967</v>
      </c>
      <c r="X604" s="129">
        <f>VLOOKUP(S604,$B$3:$M$63,10,FALSE)</f>
        <v>31.79691668940178</v>
      </c>
      <c r="Y604" s="130">
        <v>0</v>
      </c>
    </row>
    <row r="605" spans="19:25" x14ac:dyDescent="0.2">
      <c r="S605" s="131"/>
      <c r="T605" s="127"/>
      <c r="U605" s="127">
        <f>+(T604-1)*10+2</f>
        <v>502</v>
      </c>
      <c r="V605" s="128" t="s">
        <v>314</v>
      </c>
      <c r="W605" s="129">
        <f>VLOOKUP(S604,$B$3:$M$63,3,FALSE)</f>
        <v>4.6420359303696443</v>
      </c>
      <c r="X605" s="129"/>
      <c r="Y605" s="130">
        <v>0</v>
      </c>
    </row>
    <row r="606" spans="19:25" x14ac:dyDescent="0.2">
      <c r="S606" s="131"/>
      <c r="T606" s="127"/>
      <c r="U606" s="127">
        <f>+(T604-1)*10+3</f>
        <v>503</v>
      </c>
      <c r="V606" s="128" t="s">
        <v>232</v>
      </c>
      <c r="W606" s="129">
        <f>VLOOKUP(S604,$B$3:$M$63,4,FALSE)</f>
        <v>0.5954286415980945</v>
      </c>
      <c r="X606" s="129"/>
      <c r="Y606" s="130">
        <v>0</v>
      </c>
    </row>
    <row r="607" spans="19:25" x14ac:dyDescent="0.2">
      <c r="S607" s="131"/>
      <c r="T607" s="127"/>
      <c r="U607" s="127">
        <f>+(T604-1)*10+4</f>
        <v>504</v>
      </c>
      <c r="V607" s="128" t="s">
        <v>317</v>
      </c>
      <c r="W607" s="129">
        <f>VLOOKUP(S604,$B$3:$M$63,5,FALSE)</f>
        <v>0.5954286415980945</v>
      </c>
      <c r="X607" s="129"/>
      <c r="Y607" s="130">
        <v>0</v>
      </c>
    </row>
    <row r="608" spans="19:25" x14ac:dyDescent="0.2">
      <c r="S608" s="131"/>
      <c r="T608" s="127"/>
      <c r="U608" s="127">
        <f>+(T604-1)*10+5</f>
        <v>505</v>
      </c>
      <c r="V608" s="128" t="s">
        <v>234</v>
      </c>
      <c r="W608" s="129">
        <f>VLOOKUP(S604,$B$3:$M$63,6,FALSE)</f>
        <v>5.9542864159809445</v>
      </c>
      <c r="X608" s="129"/>
      <c r="Y608" s="130">
        <v>0</v>
      </c>
    </row>
    <row r="609" spans="19:25" x14ac:dyDescent="0.2">
      <c r="S609" s="131"/>
      <c r="T609" s="127"/>
      <c r="U609" s="127">
        <f>+(T604-1)*10+6</f>
        <v>506</v>
      </c>
      <c r="V609" s="128" t="s">
        <v>235</v>
      </c>
      <c r="W609" s="129">
        <f>VLOOKUP(S604,$B$3:$M$63,7,FALSE)</f>
        <v>0</v>
      </c>
      <c r="X609" s="129"/>
      <c r="Y609" s="130">
        <v>0</v>
      </c>
    </row>
    <row r="610" spans="19:25" x14ac:dyDescent="0.2">
      <c r="S610" s="131"/>
      <c r="T610" s="127"/>
      <c r="U610" s="127">
        <f>+(T604-1)*10+7</f>
        <v>507</v>
      </c>
      <c r="V610" s="128" t="s">
        <v>236</v>
      </c>
      <c r="W610" s="129">
        <f>VLOOKUP(S604,$B$3:$M$63,8,FALSE)</f>
        <v>65.4971505757904</v>
      </c>
      <c r="X610" s="129">
        <f>VLOOKUP(S604,$B$3:$M$63,11,FALSE)</f>
        <v>11.530750008244601</v>
      </c>
      <c r="Y610" s="130">
        <v>0</v>
      </c>
    </row>
    <row r="611" spans="19:25" x14ac:dyDescent="0.2">
      <c r="S611" s="131"/>
      <c r="T611" s="127"/>
      <c r="U611" s="127">
        <f>+(T604-1)*10+8</f>
        <v>508</v>
      </c>
      <c r="V611" s="128" t="s">
        <v>237</v>
      </c>
      <c r="W611" s="129"/>
      <c r="X611" s="129"/>
      <c r="Y611" s="130"/>
    </row>
    <row r="612" spans="19:25" x14ac:dyDescent="0.2">
      <c r="S612" s="131"/>
      <c r="T612" s="127"/>
      <c r="U612" s="127">
        <f>+(T604-1)*10+9</f>
        <v>509</v>
      </c>
      <c r="V612" s="128" t="s">
        <v>238</v>
      </c>
      <c r="W612" s="129">
        <f>VLOOKUP(S604,$B$3:$M$63,9,FALSE)</f>
        <v>122.46359500340489</v>
      </c>
      <c r="X612" s="129">
        <f>VLOOKUP(S604,$B$3:$M$63,12,FALSE)</f>
        <v>2.7953333353320247</v>
      </c>
      <c r="Y612" s="130">
        <v>0</v>
      </c>
    </row>
    <row r="613" spans="19:25" x14ac:dyDescent="0.2">
      <c r="T613" s="132"/>
      <c r="U613" s="127">
        <f>+(T604-1)*10+10</f>
        <v>510</v>
      </c>
      <c r="V613" s="123" t="s">
        <v>324</v>
      </c>
      <c r="W613" s="133">
        <f>SUM(W604:W612)</f>
        <v>236.78589419023905</v>
      </c>
      <c r="X613" s="133">
        <f>SUM(X604:X612)</f>
        <v>46.123000032978403</v>
      </c>
      <c r="Y613" s="125">
        <v>0</v>
      </c>
    </row>
    <row r="614" spans="19:25" x14ac:dyDescent="0.2">
      <c r="T614" s="132"/>
      <c r="U614" s="132"/>
      <c r="V614" s="132"/>
      <c r="W614" s="132"/>
      <c r="X614" s="132"/>
      <c r="Y614" s="132"/>
    </row>
    <row r="615" spans="19:25" x14ac:dyDescent="0.2">
      <c r="S615" s="122"/>
      <c r="T615" s="122"/>
      <c r="U615" s="122"/>
      <c r="V615" s="123" t="s">
        <v>227</v>
      </c>
      <c r="W615" s="124" t="s">
        <v>228</v>
      </c>
      <c r="X615" s="124" t="s">
        <v>229</v>
      </c>
      <c r="Y615" s="125" t="s">
        <v>239</v>
      </c>
    </row>
    <row r="616" spans="19:25" ht="30" x14ac:dyDescent="0.2">
      <c r="S616" s="126" t="str">
        <f>VLOOKUP(T616,$A$3:$P$63,2,FALSE)</f>
        <v>Retail services</v>
      </c>
      <c r="T616" s="127">
        <f>+T604+1</f>
        <v>52</v>
      </c>
      <c r="U616" s="127">
        <f>+(T616-1)*10+1</f>
        <v>511</v>
      </c>
      <c r="V616" s="128" t="s">
        <v>230</v>
      </c>
      <c r="W616" s="129">
        <f>VLOOKUP(S616,$B$3:$M$63,2,FALSE)</f>
        <v>23.283707341703632</v>
      </c>
      <c r="X616" s="129">
        <f>VLOOKUP(S616,$B$3:$M$63,10,FALSE)</f>
        <v>89.98261526774607</v>
      </c>
      <c r="Y616" s="130">
        <v>0</v>
      </c>
    </row>
    <row r="617" spans="19:25" x14ac:dyDescent="0.2">
      <c r="S617" s="131"/>
      <c r="T617" s="127"/>
      <c r="U617" s="127">
        <f>+(T616-1)*10+2</f>
        <v>512</v>
      </c>
      <c r="V617" s="128" t="s">
        <v>314</v>
      </c>
      <c r="W617" s="129">
        <f>VLOOKUP(S616,$B$3:$M$63,3,FALSE)</f>
        <v>1.2286904272146031</v>
      </c>
      <c r="X617" s="129"/>
      <c r="Y617" s="130">
        <v>0</v>
      </c>
    </row>
    <row r="618" spans="19:25" x14ac:dyDescent="0.2">
      <c r="S618" s="131"/>
      <c r="T618" s="127"/>
      <c r="U618" s="127">
        <f>+(T616-1)*10+3</f>
        <v>513</v>
      </c>
      <c r="V618" s="128" t="s">
        <v>232</v>
      </c>
      <c r="W618" s="129">
        <f>VLOOKUP(S616,$B$3:$M$63,4,FALSE)</f>
        <v>5.1951470158150341</v>
      </c>
      <c r="X618" s="129"/>
      <c r="Y618" s="130">
        <v>0</v>
      </c>
    </row>
    <row r="619" spans="19:25" x14ac:dyDescent="0.2">
      <c r="S619" s="131"/>
      <c r="T619" s="127"/>
      <c r="U619" s="127">
        <f>+(T616-1)*10+4</f>
        <v>514</v>
      </c>
      <c r="V619" s="128" t="s">
        <v>317</v>
      </c>
      <c r="W619" s="129">
        <f>VLOOKUP(S616,$B$3:$M$63,5,FALSE)</f>
        <v>1.4086484756925601</v>
      </c>
      <c r="X619" s="129"/>
      <c r="Y619" s="130">
        <v>0</v>
      </c>
    </row>
    <row r="620" spans="19:25" x14ac:dyDescent="0.2">
      <c r="S620" s="131"/>
      <c r="T620" s="127"/>
      <c r="U620" s="127">
        <f>+(T616-1)*10+5</f>
        <v>515</v>
      </c>
      <c r="V620" s="128" t="s">
        <v>234</v>
      </c>
      <c r="W620" s="129">
        <f>VLOOKUP(S616,$B$3:$M$63,6,FALSE)</f>
        <v>2.4574173867167572</v>
      </c>
      <c r="X620" s="129"/>
      <c r="Y620" s="130">
        <v>0</v>
      </c>
    </row>
    <row r="621" spans="19:25" x14ac:dyDescent="0.2">
      <c r="S621" s="131"/>
      <c r="T621" s="127"/>
      <c r="U621" s="127">
        <f>+(T616-1)*10+6</f>
        <v>516</v>
      </c>
      <c r="V621" s="128" t="s">
        <v>235</v>
      </c>
      <c r="W621" s="129">
        <f>VLOOKUP(S616,$B$3:$M$63,7,FALSE)</f>
        <v>2.8822878909389744</v>
      </c>
      <c r="X621" s="129"/>
      <c r="Y621" s="130">
        <v>0</v>
      </c>
    </row>
    <row r="622" spans="19:25" x14ac:dyDescent="0.2">
      <c r="S622" s="131"/>
      <c r="T622" s="127"/>
      <c r="U622" s="127">
        <f>+(T616-1)*10+7</f>
        <v>517</v>
      </c>
      <c r="V622" s="128" t="s">
        <v>236</v>
      </c>
      <c r="W622" s="129">
        <f>VLOOKUP(S616,$B$3:$M$63,8,FALSE)</f>
        <v>31.723213750379085</v>
      </c>
      <c r="X622" s="129">
        <f>VLOOKUP(S616,$B$3:$M$63,11,FALSE)</f>
        <v>12.654862840835365</v>
      </c>
      <c r="Y622" s="130">
        <v>0</v>
      </c>
    </row>
    <row r="623" spans="19:25" x14ac:dyDescent="0.2">
      <c r="S623" s="131"/>
      <c r="T623" s="127"/>
      <c r="U623" s="127">
        <f>+(T616-1)*10+8</f>
        <v>518</v>
      </c>
      <c r="V623" s="128" t="s">
        <v>237</v>
      </c>
      <c r="W623" s="129"/>
      <c r="X623" s="129"/>
      <c r="Y623" s="130"/>
    </row>
    <row r="624" spans="19:25" x14ac:dyDescent="0.2">
      <c r="S624" s="131"/>
      <c r="T624" s="127"/>
      <c r="U624" s="127">
        <f>+(T616-1)*10+9</f>
        <v>519</v>
      </c>
      <c r="V624" s="128" t="s">
        <v>238</v>
      </c>
      <c r="W624" s="129">
        <f>VLOOKUP(S616,$B$3:$M$63,9,FALSE)</f>
        <v>16.819136398054241</v>
      </c>
      <c r="X624" s="129">
        <f>VLOOKUP(S616,$B$3:$M$63,12,FALSE)</f>
        <v>0</v>
      </c>
      <c r="Y624" s="130">
        <v>0</v>
      </c>
    </row>
    <row r="625" spans="19:25" x14ac:dyDescent="0.2">
      <c r="T625" s="132"/>
      <c r="U625" s="127">
        <f>+(T616-1)*10+10</f>
        <v>520</v>
      </c>
      <c r="V625" s="123" t="s">
        <v>324</v>
      </c>
      <c r="W625" s="133">
        <f>SUM(W616:W624)</f>
        <v>84.998248686514884</v>
      </c>
      <c r="X625" s="133">
        <f>SUM(X616:X624)</f>
        <v>102.63747810858143</v>
      </c>
      <c r="Y625" s="125">
        <v>0</v>
      </c>
    </row>
    <row r="626" spans="19:25" x14ac:dyDescent="0.2">
      <c r="T626" s="132"/>
      <c r="U626" s="132"/>
      <c r="V626" s="132"/>
      <c r="W626" s="132"/>
      <c r="X626" s="132"/>
      <c r="Y626" s="132"/>
    </row>
    <row r="627" spans="19:25" x14ac:dyDescent="0.2">
      <c r="S627" s="122"/>
      <c r="T627" s="122"/>
      <c r="U627" s="122"/>
      <c r="V627" s="123" t="s">
        <v>227</v>
      </c>
      <c r="W627" s="124" t="s">
        <v>228</v>
      </c>
      <c r="X627" s="124" t="s">
        <v>229</v>
      </c>
      <c r="Y627" s="125" t="s">
        <v>239</v>
      </c>
    </row>
    <row r="628" spans="19:25" ht="30" x14ac:dyDescent="0.2">
      <c r="S628" s="126" t="str">
        <f>VLOOKUP(T628,$A$3:$P$63,2,FALSE)</f>
        <v>Small food shop</v>
      </c>
      <c r="T628" s="127">
        <f>+T616+1</f>
        <v>53</v>
      </c>
      <c r="U628" s="127">
        <f>+(T628-1)*10+1</f>
        <v>521</v>
      </c>
      <c r="V628" s="128" t="s">
        <v>230</v>
      </c>
      <c r="W628" s="129">
        <f>VLOOKUP(S628,$B$3:$M$63,2,FALSE)</f>
        <v>53.567540175862689</v>
      </c>
      <c r="X628" s="129">
        <f>VLOOKUP(S628,$B$3:$M$63,10,FALSE)</f>
        <v>54.537516129148827</v>
      </c>
      <c r="Y628" s="130">
        <v>0</v>
      </c>
    </row>
    <row r="629" spans="19:25" x14ac:dyDescent="0.2">
      <c r="S629" s="131"/>
      <c r="T629" s="127"/>
      <c r="U629" s="127">
        <f>+(T628-1)*10+2</f>
        <v>522</v>
      </c>
      <c r="V629" s="128" t="s">
        <v>314</v>
      </c>
      <c r="W629" s="129">
        <f>VLOOKUP(S628,$B$3:$M$63,3,FALSE)</f>
        <v>4.8060613269348353</v>
      </c>
      <c r="X629" s="129"/>
      <c r="Y629" s="130">
        <v>0</v>
      </c>
    </row>
    <row r="630" spans="19:25" x14ac:dyDescent="0.2">
      <c r="S630" s="131"/>
      <c r="T630" s="127"/>
      <c r="U630" s="127">
        <f>+(T628-1)*10+3</f>
        <v>523</v>
      </c>
      <c r="V630" s="128" t="s">
        <v>232</v>
      </c>
      <c r="W630" s="129">
        <f>VLOOKUP(S628,$B$3:$M$63,4,FALSE)</f>
        <v>22.947340685083567</v>
      </c>
      <c r="X630" s="129"/>
      <c r="Y630" s="130">
        <v>0</v>
      </c>
    </row>
    <row r="631" spans="19:25" x14ac:dyDescent="0.2">
      <c r="S631" s="131"/>
      <c r="T631" s="127"/>
      <c r="U631" s="127">
        <f>+(T628-1)*10+4</f>
        <v>524</v>
      </c>
      <c r="V631" s="128" t="s">
        <v>317</v>
      </c>
      <c r="W631" s="129">
        <f>VLOOKUP(S628,$B$3:$M$63,5,FALSE)</f>
        <v>4.8060613269348353</v>
      </c>
      <c r="X631" s="129"/>
      <c r="Y631" s="130">
        <v>0</v>
      </c>
    </row>
    <row r="632" spans="19:25" x14ac:dyDescent="0.2">
      <c r="S632" s="131"/>
      <c r="T632" s="127"/>
      <c r="U632" s="127">
        <f>+(T628-1)*10+5</f>
        <v>525</v>
      </c>
      <c r="V632" s="128" t="s">
        <v>234</v>
      </c>
      <c r="W632" s="129">
        <f>VLOOKUP(S628,$B$3:$M$63,6,FALSE)</f>
        <v>9.6120900068797503</v>
      </c>
      <c r="X632" s="129"/>
      <c r="Y632" s="130">
        <v>0</v>
      </c>
    </row>
    <row r="633" spans="19:25" x14ac:dyDescent="0.2">
      <c r="S633" s="131"/>
      <c r="T633" s="127"/>
      <c r="U633" s="127">
        <f>+(T628-1)*10+6</f>
        <v>526</v>
      </c>
      <c r="V633" s="128" t="s">
        <v>235</v>
      </c>
      <c r="W633" s="129">
        <f>VLOOKUP(S628,$B$3:$M$63,7,FALSE)</f>
        <v>17.606097252407782</v>
      </c>
      <c r="X633" s="129"/>
      <c r="Y633" s="130">
        <v>0</v>
      </c>
    </row>
    <row r="634" spans="19:25" x14ac:dyDescent="0.2">
      <c r="S634" s="131"/>
      <c r="T634" s="127"/>
      <c r="U634" s="127">
        <f>+(T628-1)*10+7</f>
        <v>527</v>
      </c>
      <c r="V634" s="128" t="s">
        <v>236</v>
      </c>
      <c r="W634" s="129">
        <f>VLOOKUP(S628,$B$3:$M$63,8,FALSE)</f>
        <v>122.42621219597203</v>
      </c>
      <c r="X634" s="129">
        <f>VLOOKUP(S628,$B$3:$M$63,11,FALSE)</f>
        <v>8.0369289085913405</v>
      </c>
      <c r="Y634" s="130">
        <v>0</v>
      </c>
    </row>
    <row r="635" spans="19:25" x14ac:dyDescent="0.2">
      <c r="S635" s="131"/>
      <c r="T635" s="127"/>
      <c r="U635" s="127">
        <f>+(T628-1)*10+8</f>
        <v>528</v>
      </c>
      <c r="V635" s="128" t="s">
        <v>237</v>
      </c>
      <c r="W635" s="129"/>
      <c r="X635" s="129"/>
      <c r="Y635" s="130"/>
    </row>
    <row r="636" spans="19:25" x14ac:dyDescent="0.2">
      <c r="S636" s="131"/>
      <c r="T636" s="127"/>
      <c r="U636" s="127">
        <f>+(T628-1)*10+9</f>
        <v>529</v>
      </c>
      <c r="V636" s="128" t="s">
        <v>238</v>
      </c>
      <c r="W636" s="129">
        <f>VLOOKUP(S628,$B$3:$M$63,9,FALSE)</f>
        <v>235.39328553283451</v>
      </c>
      <c r="X636" s="129">
        <f>VLOOKUP(S628,$B$3:$M$63,12,FALSE)</f>
        <v>8.986832051286413</v>
      </c>
      <c r="Y636" s="130">
        <v>0</v>
      </c>
    </row>
    <row r="637" spans="19:25" x14ac:dyDescent="0.2">
      <c r="T637" s="132"/>
      <c r="U637" s="127">
        <f>+(T628-1)*10+10</f>
        <v>530</v>
      </c>
      <c r="V637" s="123" t="s">
        <v>324</v>
      </c>
      <c r="W637" s="133">
        <f>SUM(W628:W636)</f>
        <v>471.16468850291</v>
      </c>
      <c r="X637" s="133">
        <f>SUM(X628:X636)</f>
        <v>71.561277089026589</v>
      </c>
      <c r="Y637" s="125">
        <v>0</v>
      </c>
    </row>
    <row r="638" spans="19:25" x14ac:dyDescent="0.2">
      <c r="T638" s="132"/>
      <c r="U638" s="132"/>
      <c r="V638" s="132"/>
      <c r="W638" s="132"/>
      <c r="X638" s="132"/>
      <c r="Y638" s="132"/>
    </row>
    <row r="639" spans="19:25" x14ac:dyDescent="0.2">
      <c r="S639" s="122"/>
      <c r="T639" s="122"/>
      <c r="U639" s="122"/>
      <c r="V639" s="123" t="s">
        <v>227</v>
      </c>
      <c r="W639" s="124" t="s">
        <v>228</v>
      </c>
      <c r="X639" s="124" t="s">
        <v>229</v>
      </c>
      <c r="Y639" s="125" t="s">
        <v>239</v>
      </c>
    </row>
    <row r="640" spans="19:25" ht="30" x14ac:dyDescent="0.2">
      <c r="S640" s="126" t="str">
        <f>VLOOKUP(T640,$A$3:$P$63,2,FALSE)</f>
        <v>Supermarket</v>
      </c>
      <c r="T640" s="127">
        <f>+T628+1</f>
        <v>54</v>
      </c>
      <c r="U640" s="127">
        <f>+(T640-1)*10+1</f>
        <v>531</v>
      </c>
      <c r="V640" s="128" t="s">
        <v>230</v>
      </c>
      <c r="W640" s="129">
        <f>VLOOKUP(S640,$B$3:$M$63,2,FALSE)</f>
        <v>4.4171810387510924</v>
      </c>
      <c r="X640" s="129">
        <f>VLOOKUP(S640,$B$3:$M$63,10,FALSE)</f>
        <v>113.04235090478736</v>
      </c>
      <c r="Y640" s="130">
        <v>0</v>
      </c>
    </row>
    <row r="641" spans="19:25" x14ac:dyDescent="0.2">
      <c r="S641" s="131"/>
      <c r="T641" s="127"/>
      <c r="U641" s="127">
        <f>+(T640-1)*10+2</f>
        <v>532</v>
      </c>
      <c r="V641" s="128" t="s">
        <v>314</v>
      </c>
      <c r="W641" s="129">
        <f>VLOOKUP(S640,$B$3:$M$63,3,FALSE)</f>
        <v>0.94892465369671053</v>
      </c>
      <c r="X641" s="129"/>
      <c r="Y641" s="130">
        <v>0</v>
      </c>
    </row>
    <row r="642" spans="19:25" x14ac:dyDescent="0.2">
      <c r="S642" s="131"/>
      <c r="T642" s="127"/>
      <c r="U642" s="127">
        <f>+(T640-1)*10+3</f>
        <v>533</v>
      </c>
      <c r="V642" s="128" t="s">
        <v>232</v>
      </c>
      <c r="W642" s="129">
        <f>VLOOKUP(S640,$B$3:$M$63,4,FALSE)</f>
        <v>2.2381750756749987</v>
      </c>
      <c r="X642" s="129"/>
      <c r="Y642" s="130">
        <v>0</v>
      </c>
    </row>
    <row r="643" spans="19:25" x14ac:dyDescent="0.2">
      <c r="S643" s="131"/>
      <c r="T643" s="127"/>
      <c r="U643" s="127">
        <f>+(T640-1)*10+4</f>
        <v>534</v>
      </c>
      <c r="V643" s="128" t="s">
        <v>317</v>
      </c>
      <c r="W643" s="129">
        <f>VLOOKUP(S640,$B$3:$M$63,5,FALSE)</f>
        <v>0.44487777054890293</v>
      </c>
      <c r="X643" s="129"/>
      <c r="Y643" s="130">
        <v>0</v>
      </c>
    </row>
    <row r="644" spans="19:25" x14ac:dyDescent="0.2">
      <c r="S644" s="131"/>
      <c r="T644" s="127"/>
      <c r="U644" s="127">
        <f>+(T640-1)*10+5</f>
        <v>535</v>
      </c>
      <c r="V644" s="128" t="s">
        <v>234</v>
      </c>
      <c r="W644" s="129">
        <f>VLOOKUP(S640,$B$3:$M$63,6,FALSE)</f>
        <v>24.147475616015114</v>
      </c>
      <c r="X644" s="129"/>
      <c r="Y644" s="130">
        <v>0</v>
      </c>
    </row>
    <row r="645" spans="19:25" x14ac:dyDescent="0.2">
      <c r="S645" s="131"/>
      <c r="T645" s="127"/>
      <c r="U645" s="127">
        <f>+(T640-1)*10+6</f>
        <v>536</v>
      </c>
      <c r="V645" s="128" t="s">
        <v>235</v>
      </c>
      <c r="W645" s="129">
        <f>VLOOKUP(S640,$B$3:$M$63,7,FALSE)</f>
        <v>2.6830528462239012</v>
      </c>
      <c r="X645" s="129"/>
      <c r="Y645" s="130">
        <v>0</v>
      </c>
    </row>
    <row r="646" spans="19:25" x14ac:dyDescent="0.2">
      <c r="S646" s="131"/>
      <c r="T646" s="127"/>
      <c r="U646" s="127">
        <f>+(T640-1)*10+7</f>
        <v>537</v>
      </c>
      <c r="V646" s="128" t="s">
        <v>236</v>
      </c>
      <c r="W646" s="129">
        <f>VLOOKUP(S640,$B$3:$M$63,8,FALSE)</f>
        <v>52.766705975736734</v>
      </c>
      <c r="X646" s="129">
        <f>VLOOKUP(S640,$B$3:$M$63,11,FALSE)</f>
        <v>0.75867349600528422</v>
      </c>
      <c r="Y646" s="130">
        <v>0</v>
      </c>
    </row>
    <row r="647" spans="19:25" x14ac:dyDescent="0.2">
      <c r="S647" s="131"/>
      <c r="T647" s="127"/>
      <c r="U647" s="127">
        <f>+(T640-1)*10+8</f>
        <v>538</v>
      </c>
      <c r="V647" s="128" t="s">
        <v>237</v>
      </c>
      <c r="W647" s="129"/>
      <c r="X647" s="129"/>
      <c r="Y647" s="130"/>
    </row>
    <row r="648" spans="19:25" x14ac:dyDescent="0.2">
      <c r="S648" s="131"/>
      <c r="T648" s="127"/>
      <c r="U648" s="127">
        <f>+(T640-1)*10+9</f>
        <v>539</v>
      </c>
      <c r="V648" s="128" t="s">
        <v>238</v>
      </c>
      <c r="W648" s="129">
        <f>VLOOKUP(S640,$B$3:$M$63,9,FALSE)</f>
        <v>198.54591062056869</v>
      </c>
      <c r="X648" s="129">
        <f>VLOOKUP(S640,$B$3:$M$63,12,FALSE)</f>
        <v>8.3454084560581272</v>
      </c>
      <c r="Y648" s="130">
        <v>0</v>
      </c>
    </row>
    <row r="649" spans="19:25" x14ac:dyDescent="0.2">
      <c r="T649" s="132"/>
      <c r="U649" s="127">
        <f>+(T640-1)*10+10</f>
        <v>540</v>
      </c>
      <c r="V649" s="123" t="s">
        <v>324</v>
      </c>
      <c r="W649" s="133">
        <f>SUM(W640:W648)</f>
        <v>286.19230359721615</v>
      </c>
      <c r="X649" s="133">
        <f>SUM(X640:X648)</f>
        <v>122.14643285685077</v>
      </c>
      <c r="Y649" s="125">
        <v>0</v>
      </c>
    </row>
    <row r="650" spans="19:25" x14ac:dyDescent="0.2">
      <c r="T650" s="132"/>
      <c r="U650" s="132"/>
      <c r="V650" s="132"/>
      <c r="W650" s="132"/>
      <c r="X650" s="132"/>
      <c r="Y650" s="132"/>
    </row>
    <row r="651" spans="19:25" x14ac:dyDescent="0.2">
      <c r="S651" s="122"/>
      <c r="T651" s="122"/>
      <c r="U651" s="122"/>
      <c r="V651" s="123" t="s">
        <v>227</v>
      </c>
      <c r="W651" s="124" t="s">
        <v>228</v>
      </c>
      <c r="X651" s="124" t="s">
        <v>229</v>
      </c>
      <c r="Y651" s="125" t="s">
        <v>239</v>
      </c>
    </row>
    <row r="652" spans="19:25" ht="45" x14ac:dyDescent="0.2">
      <c r="S652" s="126" t="str">
        <f>VLOOKUP(T652,$A$3:$P$63,2,FALSE)</f>
        <v>Retail asset common areas*</v>
      </c>
      <c r="T652" s="127">
        <f>+T640+1</f>
        <v>55</v>
      </c>
      <c r="U652" s="127">
        <f>+(T652-1)*10+1</f>
        <v>541</v>
      </c>
      <c r="V652" s="128" t="s">
        <v>230</v>
      </c>
      <c r="W652" s="129">
        <f>VLOOKUP(S652,$B$3:$M$63,2,FALSE)</f>
        <v>32.850375506355476</v>
      </c>
      <c r="X652" s="129">
        <f>VLOOKUP(S652,$B$3:$M$63,10,FALSE)</f>
        <v>33.07122071566765</v>
      </c>
      <c r="Y652" s="130">
        <v>0</v>
      </c>
    </row>
    <row r="653" spans="19:25" x14ac:dyDescent="0.2">
      <c r="S653" s="131"/>
      <c r="T653" s="127"/>
      <c r="U653" s="127">
        <f>+(T652-1)*10+2</f>
        <v>542</v>
      </c>
      <c r="V653" s="128" t="s">
        <v>314</v>
      </c>
      <c r="W653" s="129">
        <f>VLOOKUP(S652,$B$3:$M$63,3,FALSE)</f>
        <v>4.1171972335420888</v>
      </c>
      <c r="X653" s="129"/>
      <c r="Y653" s="130">
        <v>0</v>
      </c>
    </row>
    <row r="654" spans="19:25" x14ac:dyDescent="0.2">
      <c r="S654" s="131"/>
      <c r="T654" s="127"/>
      <c r="U654" s="127">
        <f>+(T652-1)*10+3</f>
        <v>543</v>
      </c>
      <c r="V654" s="128" t="s">
        <v>232</v>
      </c>
      <c r="W654" s="129">
        <f>VLOOKUP(S652,$B$3:$M$63,4,FALSE)</f>
        <v>0.52810818199853671</v>
      </c>
      <c r="X654" s="129"/>
      <c r="Y654" s="130">
        <v>0</v>
      </c>
    </row>
    <row r="655" spans="19:25" x14ac:dyDescent="0.2">
      <c r="S655" s="131"/>
      <c r="T655" s="127"/>
      <c r="U655" s="127">
        <f>+(T652-1)*10+4</f>
        <v>544</v>
      </c>
      <c r="V655" s="128" t="s">
        <v>317</v>
      </c>
      <c r="W655" s="129">
        <f>VLOOKUP(S652,$B$3:$M$63,5,FALSE)</f>
        <v>0.52810818199853671</v>
      </c>
      <c r="X655" s="129"/>
      <c r="Y655" s="130">
        <v>0</v>
      </c>
    </row>
    <row r="656" spans="19:25" x14ac:dyDescent="0.2">
      <c r="S656" s="131"/>
      <c r="T656" s="127"/>
      <c r="U656" s="127">
        <f>+(T652-1)*10+5</f>
        <v>545</v>
      </c>
      <c r="V656" s="128" t="s">
        <v>234</v>
      </c>
      <c r="W656" s="129">
        <f>VLOOKUP(S652,$B$3:$M$63,6,FALSE)</f>
        <v>5.2810818199853671</v>
      </c>
      <c r="X656" s="129"/>
      <c r="Y656" s="130">
        <v>0</v>
      </c>
    </row>
    <row r="657" spans="19:25" x14ac:dyDescent="0.2">
      <c r="S657" s="131"/>
      <c r="T657" s="127"/>
      <c r="U657" s="127">
        <f>+(T652-1)*10+6</f>
        <v>546</v>
      </c>
      <c r="V657" s="128" t="s">
        <v>235</v>
      </c>
      <c r="W657" s="129">
        <f>VLOOKUP(S652,$B$3:$M$63,7,FALSE)</f>
        <v>0</v>
      </c>
      <c r="X657" s="129"/>
      <c r="Y657" s="130">
        <v>0</v>
      </c>
    </row>
    <row r="658" spans="19:25" x14ac:dyDescent="0.2">
      <c r="S658" s="131"/>
      <c r="T658" s="127"/>
      <c r="U658" s="127">
        <f>+(T652-1)*10+7</f>
        <v>547</v>
      </c>
      <c r="V658" s="128" t="s">
        <v>236</v>
      </c>
      <c r="W658" s="129">
        <f>VLOOKUP(S652,$B$3:$M$63,8,FALSE)</f>
        <v>58.091900019839031</v>
      </c>
      <c r="X658" s="129">
        <f>VLOOKUP(S652,$B$3:$M$63,11,FALSE)</f>
        <v>11.992860259527827</v>
      </c>
      <c r="Y658" s="130">
        <v>0</v>
      </c>
    </row>
    <row r="659" spans="19:25" x14ac:dyDescent="0.2">
      <c r="S659" s="131"/>
      <c r="T659" s="127"/>
      <c r="U659" s="127">
        <f>+(T652-1)*10+8</f>
        <v>548</v>
      </c>
      <c r="V659" s="128" t="s">
        <v>237</v>
      </c>
      <c r="W659" s="129"/>
      <c r="X659" s="129"/>
      <c r="Y659" s="130"/>
    </row>
    <row r="660" spans="19:25" x14ac:dyDescent="0.2">
      <c r="S660" s="131"/>
      <c r="T660" s="127"/>
      <c r="U660" s="127">
        <f>+(T652-1)*10+9</f>
        <v>549</v>
      </c>
      <c r="V660" s="128" t="s">
        <v>238</v>
      </c>
      <c r="W660" s="129">
        <f>VLOOKUP(S652,$B$3:$M$63,9,FALSE)</f>
        <v>108.61759411618503</v>
      </c>
      <c r="X660" s="129">
        <f>VLOOKUP(S652,$B$3:$M$63,12,FALSE)</f>
        <v>2.9073600629158372</v>
      </c>
      <c r="Y660" s="130">
        <v>0</v>
      </c>
    </row>
    <row r="661" spans="19:25" x14ac:dyDescent="0.2">
      <c r="T661" s="132"/>
      <c r="U661" s="127">
        <f>+(T652-1)*10+10</f>
        <v>550</v>
      </c>
      <c r="V661" s="123" t="s">
        <v>324</v>
      </c>
      <c r="W661" s="133">
        <f>SUM(W652:W660)</f>
        <v>210.01436505990404</v>
      </c>
      <c r="X661" s="133">
        <f>SUM(X652:X660)</f>
        <v>47.971441038111315</v>
      </c>
      <c r="Y661" s="125">
        <v>0</v>
      </c>
    </row>
    <row r="662" spans="19:25" x14ac:dyDescent="0.2">
      <c r="T662" s="132"/>
      <c r="U662" s="132"/>
      <c r="V662" s="132"/>
      <c r="W662" s="132"/>
      <c r="X662" s="132"/>
      <c r="Y662" s="132"/>
    </row>
    <row r="663" spans="19:25" x14ac:dyDescent="0.2">
      <c r="S663" s="122"/>
      <c r="T663" s="122"/>
      <c r="U663" s="122"/>
      <c r="V663" s="123" t="s">
        <v>227</v>
      </c>
      <c r="W663" s="124" t="s">
        <v>228</v>
      </c>
      <c r="X663" s="124" t="s">
        <v>229</v>
      </c>
      <c r="Y663" s="125" t="s">
        <v>239</v>
      </c>
    </row>
    <row r="664" spans="19:25" ht="45" x14ac:dyDescent="0.2">
      <c r="S664" s="126" t="str">
        <f>VLOOKUP(T664,$A$3:$P$63,2,FALSE)</f>
        <v>Fitness centre/gym</v>
      </c>
      <c r="T664" s="127">
        <f>+T652+1</f>
        <v>56</v>
      </c>
      <c r="U664" s="127">
        <f>+(T664-1)*10+1</f>
        <v>551</v>
      </c>
      <c r="V664" s="128" t="s">
        <v>230</v>
      </c>
      <c r="W664" s="129">
        <f>VLOOKUP(S664,$B$3:$M$63,2,FALSE)</f>
        <v>58.078301961778962</v>
      </c>
      <c r="X664" s="129">
        <f>VLOOKUP(S664,$B$3:$M$63,10,FALSE)</f>
        <v>174.55939394039416</v>
      </c>
      <c r="Y664" s="130">
        <v>0</v>
      </c>
    </row>
    <row r="665" spans="19:25" x14ac:dyDescent="0.2">
      <c r="S665" s="131"/>
      <c r="T665" s="127"/>
      <c r="U665" s="127">
        <f>+(T664-1)*10+2</f>
        <v>552</v>
      </c>
      <c r="V665" s="128" t="s">
        <v>314</v>
      </c>
      <c r="W665" s="129">
        <f>VLOOKUP(S664,$B$3:$M$63,3,FALSE)</f>
        <v>1.6125700576563524</v>
      </c>
      <c r="X665" s="129"/>
      <c r="Y665" s="130">
        <v>0</v>
      </c>
    </row>
    <row r="666" spans="19:25" x14ac:dyDescent="0.2">
      <c r="S666" s="131"/>
      <c r="T666" s="127"/>
      <c r="U666" s="127">
        <f>+(T664-1)*10+3</f>
        <v>553</v>
      </c>
      <c r="V666" s="128" t="s">
        <v>232</v>
      </c>
      <c r="W666" s="129">
        <f>VLOOKUP(S664,$B$3:$M$63,4,FALSE)</f>
        <v>0.90902278386003765</v>
      </c>
      <c r="X666" s="129"/>
      <c r="Y666" s="130">
        <v>0</v>
      </c>
    </row>
    <row r="667" spans="19:25" x14ac:dyDescent="0.2">
      <c r="S667" s="131"/>
      <c r="T667" s="127"/>
      <c r="U667" s="127">
        <f>+(T664-1)*10+4</f>
        <v>554</v>
      </c>
      <c r="V667" s="128" t="s">
        <v>317</v>
      </c>
      <c r="W667" s="129">
        <f>VLOOKUP(S664,$B$3:$M$63,5,FALSE)</f>
        <v>0.36360911354401509</v>
      </c>
      <c r="X667" s="129"/>
      <c r="Y667" s="130">
        <v>0</v>
      </c>
    </row>
    <row r="668" spans="19:25" x14ac:dyDescent="0.2">
      <c r="S668" s="131"/>
      <c r="T668" s="127"/>
      <c r="U668" s="127">
        <f>+(T664-1)*10+5</f>
        <v>555</v>
      </c>
      <c r="V668" s="128" t="s">
        <v>234</v>
      </c>
      <c r="W668" s="129">
        <f>VLOOKUP(S664,$B$3:$M$63,6,FALSE)</f>
        <v>6.1247046303580994</v>
      </c>
      <c r="X668" s="129"/>
      <c r="Y668" s="130">
        <v>0</v>
      </c>
    </row>
    <row r="669" spans="19:25" x14ac:dyDescent="0.2">
      <c r="S669" s="131"/>
      <c r="T669" s="127"/>
      <c r="U669" s="127">
        <f>+(T664-1)*10+6</f>
        <v>556</v>
      </c>
      <c r="V669" s="128" t="s">
        <v>235</v>
      </c>
      <c r="W669" s="129">
        <f>VLOOKUP(S664,$B$3:$M$63,7,FALSE)</f>
        <v>25.527541425471124</v>
      </c>
      <c r="X669" s="129"/>
      <c r="Y669" s="130">
        <v>0</v>
      </c>
    </row>
    <row r="670" spans="19:25" x14ac:dyDescent="0.2">
      <c r="S670" s="131"/>
      <c r="T670" s="127"/>
      <c r="U670" s="127">
        <f>+(T664-1)*10+7</f>
        <v>557</v>
      </c>
      <c r="V670" s="128" t="s">
        <v>236</v>
      </c>
      <c r="W670" s="129">
        <f>VLOOKUP(S664,$B$3:$M$63,8,FALSE)</f>
        <v>6.3943935098736944</v>
      </c>
      <c r="X670" s="129">
        <f>VLOOKUP(S664,$B$3:$M$63,11,FALSE)</f>
        <v>76.725248664312929</v>
      </c>
      <c r="Y670" s="130">
        <v>0</v>
      </c>
    </row>
    <row r="671" spans="19:25" x14ac:dyDescent="0.2">
      <c r="S671" s="131"/>
      <c r="T671" s="127"/>
      <c r="U671" s="127">
        <f>+(T664-1)*10+8</f>
        <v>558</v>
      </c>
      <c r="V671" s="128" t="s">
        <v>237</v>
      </c>
      <c r="W671" s="129"/>
      <c r="X671" s="129"/>
      <c r="Y671" s="130"/>
    </row>
    <row r="672" spans="19:25" x14ac:dyDescent="0.2">
      <c r="S672" s="131"/>
      <c r="T672" s="127"/>
      <c r="U672" s="127">
        <f>+(T664-1)*10+9</f>
        <v>559</v>
      </c>
      <c r="V672" s="128" t="s">
        <v>238</v>
      </c>
      <c r="W672" s="129">
        <f>VLOOKUP(S664,$B$3:$M$63,9,FALSE)</f>
        <v>0.70965590690385427</v>
      </c>
      <c r="X672" s="129">
        <f>VLOOKUP(S664,$B$3:$M$63,12,FALSE)</f>
        <v>2.1329326242506275</v>
      </c>
      <c r="Y672" s="130">
        <v>0</v>
      </c>
    </row>
    <row r="673" spans="19:25" x14ac:dyDescent="0.2">
      <c r="T673" s="132"/>
      <c r="U673" s="127">
        <f>+(T664-1)*10+10</f>
        <v>560</v>
      </c>
      <c r="V673" s="123" t="s">
        <v>324</v>
      </c>
      <c r="W673" s="133">
        <f>SUM(W664:W672)</f>
        <v>99.719799389446138</v>
      </c>
      <c r="X673" s="133">
        <f>SUM(X664:X672)</f>
        <v>253.4175752289577</v>
      </c>
      <c r="Y673" s="125">
        <v>0</v>
      </c>
    </row>
    <row r="674" spans="19:25" x14ac:dyDescent="0.2">
      <c r="T674" s="132"/>
      <c r="U674" s="132"/>
      <c r="V674" s="132"/>
      <c r="W674" s="132"/>
      <c r="X674" s="132"/>
      <c r="Y674" s="132"/>
    </row>
    <row r="675" spans="19:25" x14ac:dyDescent="0.2">
      <c r="S675" s="122"/>
      <c r="T675" s="122"/>
      <c r="U675" s="122"/>
      <c r="V675" s="123" t="s">
        <v>227</v>
      </c>
      <c r="W675" s="124" t="s">
        <v>228</v>
      </c>
      <c r="X675" s="124" t="s">
        <v>229</v>
      </c>
      <c r="Y675" s="125" t="s">
        <v>239</v>
      </c>
    </row>
    <row r="676" spans="19:25" x14ac:dyDescent="0.2">
      <c r="S676" s="126" t="str">
        <f>VLOOKUP(T676,$A$3:$P$63,2,FALSE)</f>
        <v>Ice rink</v>
      </c>
      <c r="T676" s="127">
        <f>+T664+1</f>
        <v>57</v>
      </c>
      <c r="U676" s="127">
        <f>+(T676-1)*10+1</f>
        <v>561</v>
      </c>
      <c r="V676" s="128" t="s">
        <v>230</v>
      </c>
      <c r="W676" s="129">
        <f>VLOOKUP(S676,$B$3:$M$63,2,FALSE)</f>
        <v>107.3743108153778</v>
      </c>
      <c r="X676" s="129">
        <f>VLOOKUP(S676,$B$3:$M$63,10,FALSE)</f>
        <v>55.839886246039875</v>
      </c>
      <c r="Y676" s="130">
        <v>0</v>
      </c>
    </row>
    <row r="677" spans="19:25" x14ac:dyDescent="0.2">
      <c r="S677" s="131"/>
      <c r="T677" s="127"/>
      <c r="U677" s="127">
        <f>+(T676-1)*10+2</f>
        <v>562</v>
      </c>
      <c r="V677" s="128" t="s">
        <v>314</v>
      </c>
      <c r="W677" s="129">
        <f>VLOOKUP(S676,$B$3:$M$63,3,FALSE)</f>
        <v>4.8925332003216733</v>
      </c>
      <c r="X677" s="129"/>
      <c r="Y677" s="130">
        <v>0</v>
      </c>
    </row>
    <row r="678" spans="19:25" x14ac:dyDescent="0.2">
      <c r="S678" s="131"/>
      <c r="T678" s="127"/>
      <c r="U678" s="127">
        <f>+(T676-1)*10+3</f>
        <v>563</v>
      </c>
      <c r="V678" s="128" t="s">
        <v>232</v>
      </c>
      <c r="W678" s="129">
        <f>VLOOKUP(S676,$B$3:$M$63,4,FALSE)</f>
        <v>1.6979708476163231</v>
      </c>
      <c r="X678" s="129"/>
      <c r="Y678" s="130">
        <v>0</v>
      </c>
    </row>
    <row r="679" spans="19:25" x14ac:dyDescent="0.2">
      <c r="S679" s="131"/>
      <c r="T679" s="127"/>
      <c r="U679" s="127">
        <f>+(T676-1)*10+4</f>
        <v>564</v>
      </c>
      <c r="V679" s="128" t="s">
        <v>317</v>
      </c>
      <c r="W679" s="129">
        <f>VLOOKUP(S676,$B$3:$M$63,5,FALSE)</f>
        <v>0.67918833904652931</v>
      </c>
      <c r="X679" s="129"/>
      <c r="Y679" s="130">
        <v>0</v>
      </c>
    </row>
    <row r="680" spans="19:25" x14ac:dyDescent="0.2">
      <c r="S680" s="131"/>
      <c r="T680" s="127"/>
      <c r="U680" s="127">
        <f>+(T676-1)*10+5</f>
        <v>565</v>
      </c>
      <c r="V680" s="128" t="s">
        <v>234</v>
      </c>
      <c r="W680" s="129">
        <f>VLOOKUP(S676,$B$3:$M$63,6,FALSE)</f>
        <v>24.76008257527684</v>
      </c>
      <c r="X680" s="129"/>
      <c r="Y680" s="130">
        <v>0</v>
      </c>
    </row>
    <row r="681" spans="19:25" x14ac:dyDescent="0.2">
      <c r="S681" s="131"/>
      <c r="T681" s="127"/>
      <c r="U681" s="127">
        <f>+(T676-1)*10+6</f>
        <v>566</v>
      </c>
      <c r="V681" s="128" t="s">
        <v>235</v>
      </c>
      <c r="W681" s="129">
        <f>VLOOKUP(S676,$B$3:$M$63,7,FALSE)</f>
        <v>16.936783773135492</v>
      </c>
      <c r="X681" s="129"/>
      <c r="Y681" s="130">
        <v>0</v>
      </c>
    </row>
    <row r="682" spans="19:25" x14ac:dyDescent="0.2">
      <c r="S682" s="131"/>
      <c r="T682" s="127"/>
      <c r="U682" s="127">
        <f>+(T676-1)*10+7</f>
        <v>567</v>
      </c>
      <c r="V682" s="128" t="s">
        <v>236</v>
      </c>
      <c r="W682" s="129">
        <f>VLOOKUP(S676,$B$3:$M$63,8,FALSE)</f>
        <v>26.665817135807497</v>
      </c>
      <c r="X682" s="129">
        <f>VLOOKUP(S676,$B$3:$M$63,11,FALSE)</f>
        <v>8.8079548272193708</v>
      </c>
      <c r="Y682" s="130">
        <v>0</v>
      </c>
    </row>
    <row r="683" spans="19:25" x14ac:dyDescent="0.2">
      <c r="S683" s="131"/>
      <c r="T683" s="127"/>
      <c r="U683" s="127">
        <f>+(T676-1)*10+8</f>
        <v>568</v>
      </c>
      <c r="V683" s="128" t="s">
        <v>237</v>
      </c>
      <c r="W683" s="129"/>
      <c r="X683" s="129"/>
      <c r="Y683" s="130"/>
    </row>
    <row r="684" spans="19:25" x14ac:dyDescent="0.2">
      <c r="S684" s="131"/>
      <c r="T684" s="127"/>
      <c r="U684" s="127">
        <f>+(T676-1)*10+9</f>
        <v>569</v>
      </c>
      <c r="V684" s="128" t="s">
        <v>238</v>
      </c>
      <c r="W684" s="129">
        <f>VLOOKUP(S676,$B$3:$M$63,9,FALSE)</f>
        <v>63.878274556831215</v>
      </c>
      <c r="X684" s="129">
        <f>VLOOKUP(S676,$B$3:$M$63,12,FALSE)</f>
        <v>33.219822858559482</v>
      </c>
      <c r="Y684" s="130">
        <v>0</v>
      </c>
    </row>
    <row r="685" spans="19:25" x14ac:dyDescent="0.2">
      <c r="T685" s="132"/>
      <c r="U685" s="127">
        <f>+(T676-1)*10+10</f>
        <v>570</v>
      </c>
      <c r="V685" s="123" t="s">
        <v>324</v>
      </c>
      <c r="W685" s="133">
        <f>SUM(W676:W684)</f>
        <v>246.88496124341339</v>
      </c>
      <c r="X685" s="133">
        <f>SUM(X676:X684)</f>
        <v>97.867663931818726</v>
      </c>
      <c r="Y685" s="125">
        <v>0</v>
      </c>
    </row>
    <row r="686" spans="19:25" x14ac:dyDescent="0.2">
      <c r="T686" s="132"/>
      <c r="U686" s="132"/>
      <c r="V686" s="132"/>
      <c r="W686" s="132"/>
      <c r="X686" s="132"/>
      <c r="Y686" s="132"/>
    </row>
    <row r="687" spans="19:25" x14ac:dyDescent="0.2">
      <c r="S687" s="122"/>
      <c r="T687" s="122"/>
      <c r="U687" s="122"/>
      <c r="V687" s="123" t="s">
        <v>227</v>
      </c>
      <c r="W687" s="124" t="s">
        <v>228</v>
      </c>
      <c r="X687" s="124" t="s">
        <v>229</v>
      </c>
      <c r="Y687" s="125" t="s">
        <v>239</v>
      </c>
    </row>
    <row r="688" spans="19:25" ht="45" x14ac:dyDescent="0.2">
      <c r="S688" s="126" t="str">
        <f>VLOOKUP(T688,$A$3:$P$63,2,FALSE)</f>
        <v>Indoor swimming pool</v>
      </c>
      <c r="T688" s="127">
        <f>+T676+1</f>
        <v>58</v>
      </c>
      <c r="U688" s="127">
        <f>+(T688-1)*10+1</f>
        <v>571</v>
      </c>
      <c r="V688" s="128" t="s">
        <v>230</v>
      </c>
      <c r="W688" s="129">
        <f>VLOOKUP(S688,$B$3:$M$63,2,FALSE)</f>
        <v>147.9166679352474</v>
      </c>
      <c r="X688" s="129">
        <f>VLOOKUP(S688,$B$3:$M$63,10,FALSE)</f>
        <v>664.7670612876318</v>
      </c>
      <c r="Y688" s="130">
        <v>0</v>
      </c>
    </row>
    <row r="689" spans="19:25" x14ac:dyDescent="0.2">
      <c r="S689" s="131"/>
      <c r="T689" s="127"/>
      <c r="U689" s="127">
        <f>+(T688-1)*10+2</f>
        <v>572</v>
      </c>
      <c r="V689" s="128" t="s">
        <v>314</v>
      </c>
      <c r="W689" s="129">
        <f>VLOOKUP(S688,$B$3:$M$63,3,FALSE)</f>
        <v>15.893206092042004</v>
      </c>
      <c r="X689" s="129"/>
      <c r="Y689" s="130">
        <v>0</v>
      </c>
    </row>
    <row r="690" spans="19:25" x14ac:dyDescent="0.2">
      <c r="S690" s="131"/>
      <c r="T690" s="127"/>
      <c r="U690" s="127">
        <f>+(T688-1)*10+3</f>
        <v>573</v>
      </c>
      <c r="V690" s="128" t="s">
        <v>232</v>
      </c>
      <c r="W690" s="129">
        <f>VLOOKUP(S688,$B$3:$M$63,4,FALSE)</f>
        <v>0.54433560243781665</v>
      </c>
      <c r="X690" s="129"/>
      <c r="Y690" s="130">
        <v>0</v>
      </c>
    </row>
    <row r="691" spans="19:25" x14ac:dyDescent="0.2">
      <c r="S691" s="131"/>
      <c r="T691" s="127"/>
      <c r="U691" s="127">
        <f>+(T688-1)*10+4</f>
        <v>574</v>
      </c>
      <c r="V691" s="128" t="s">
        <v>317</v>
      </c>
      <c r="W691" s="129">
        <f>VLOOKUP(S688,$B$3:$M$63,5,FALSE)</f>
        <v>0.21773424097512661</v>
      </c>
      <c r="X691" s="129"/>
      <c r="Y691" s="130">
        <v>0</v>
      </c>
    </row>
    <row r="692" spans="19:25" x14ac:dyDescent="0.2">
      <c r="S692" s="131"/>
      <c r="T692" s="127"/>
      <c r="U692" s="127">
        <f>+(T688-1)*10+5</f>
        <v>575</v>
      </c>
      <c r="V692" s="128" t="s">
        <v>234</v>
      </c>
      <c r="W692" s="129">
        <f>VLOOKUP(S688,$B$3:$M$63,6,FALSE)</f>
        <v>15.218589206516722</v>
      </c>
      <c r="X692" s="129"/>
      <c r="Y692" s="130">
        <v>0</v>
      </c>
    </row>
    <row r="693" spans="19:25" x14ac:dyDescent="0.2">
      <c r="S693" s="131"/>
      <c r="T693" s="127"/>
      <c r="U693" s="127">
        <f>+(T688-1)*10+6</f>
        <v>576</v>
      </c>
      <c r="V693" s="128" t="s">
        <v>235</v>
      </c>
      <c r="W693" s="129">
        <f>VLOOKUP(S688,$B$3:$M$63,7,FALSE)</f>
        <v>6.7741585919301874</v>
      </c>
      <c r="X693" s="129"/>
      <c r="Y693" s="130">
        <v>0</v>
      </c>
    </row>
    <row r="694" spans="19:25" x14ac:dyDescent="0.2">
      <c r="S694" s="131"/>
      <c r="T694" s="127"/>
      <c r="U694" s="127">
        <f>+(T688-1)*10+7</f>
        <v>577</v>
      </c>
      <c r="V694" s="128" t="s">
        <v>236</v>
      </c>
      <c r="W694" s="129">
        <f>VLOOKUP(S688,$B$3:$M$63,8,FALSE)</f>
        <v>10.223362910201512</v>
      </c>
      <c r="X694" s="129">
        <f>VLOOKUP(S688,$B$3:$M$63,11,FALSE)</f>
        <v>30.444422273121702</v>
      </c>
      <c r="Y694" s="130">
        <v>0</v>
      </c>
    </row>
    <row r="695" spans="19:25" x14ac:dyDescent="0.2">
      <c r="S695" s="131"/>
      <c r="T695" s="127"/>
      <c r="U695" s="127">
        <f>+(T688-1)*10+8</f>
        <v>578</v>
      </c>
      <c r="V695" s="128" t="s">
        <v>237</v>
      </c>
      <c r="W695" s="129"/>
      <c r="X695" s="129"/>
      <c r="Y695" s="130"/>
    </row>
    <row r="696" spans="19:25" x14ac:dyDescent="0.2">
      <c r="S696" s="131"/>
      <c r="T696" s="127"/>
      <c r="U696" s="127">
        <f>+(T688-1)*10+9</f>
        <v>579</v>
      </c>
      <c r="V696" s="128" t="s">
        <v>238</v>
      </c>
      <c r="W696" s="129">
        <f>VLOOKUP(S688,$B$3:$M$63,9,FALSE)</f>
        <v>1.7311396297209394</v>
      </c>
      <c r="X696" s="129">
        <f>VLOOKUP(S688,$B$3:$M$63,12,FALSE)</f>
        <v>7.7800873991559145</v>
      </c>
      <c r="Y696" s="130">
        <v>0</v>
      </c>
    </row>
    <row r="697" spans="19:25" x14ac:dyDescent="0.2">
      <c r="T697" s="132"/>
      <c r="U697" s="127">
        <f>+(T688-1)*10+10</f>
        <v>580</v>
      </c>
      <c r="V697" s="123" t="s">
        <v>324</v>
      </c>
      <c r="W697" s="133">
        <f>SUM(W688:W696)</f>
        <v>198.51919420907169</v>
      </c>
      <c r="X697" s="133">
        <f>SUM(X688:X696)</f>
        <v>702.9915709599095</v>
      </c>
      <c r="Y697" s="125">
        <v>0</v>
      </c>
    </row>
    <row r="698" spans="19:25" x14ac:dyDescent="0.2">
      <c r="T698" s="132"/>
      <c r="U698" s="132"/>
      <c r="V698" s="132"/>
      <c r="W698" s="132"/>
      <c r="X698" s="132"/>
      <c r="Y698" s="132"/>
    </row>
    <row r="699" spans="19:25" x14ac:dyDescent="0.2">
      <c r="S699" s="122"/>
      <c r="T699" s="122"/>
      <c r="U699" s="122"/>
      <c r="V699" s="123" t="s">
        <v>227</v>
      </c>
      <c r="W699" s="124" t="s">
        <v>228</v>
      </c>
      <c r="X699" s="124" t="s">
        <v>229</v>
      </c>
      <c r="Y699" s="125" t="s">
        <v>239</v>
      </c>
    </row>
    <row r="700" spans="19:25" ht="45" x14ac:dyDescent="0.2">
      <c r="S700" s="126" t="str">
        <f>VLOOKUP(T700,$A$3:$P$63,2,FALSE)</f>
        <v>Sport asset common areas*</v>
      </c>
      <c r="T700" s="127">
        <f>+T688+1</f>
        <v>59</v>
      </c>
      <c r="U700" s="127">
        <f>+(T700-1)*10+1</f>
        <v>581</v>
      </c>
      <c r="V700" s="128" t="s">
        <v>230</v>
      </c>
      <c r="W700" s="129">
        <f>VLOOKUP(S700,$B$3:$M$63,2,FALSE)</f>
        <v>22.34911479818129</v>
      </c>
      <c r="X700" s="129">
        <f>VLOOKUP(S700,$B$3:$M$63,10,FALSE)</f>
        <v>45.142664810060808</v>
      </c>
      <c r="Y700" s="130">
        <v>0</v>
      </c>
    </row>
    <row r="701" spans="19:25" x14ac:dyDescent="0.2">
      <c r="S701" s="131"/>
      <c r="T701" s="127"/>
      <c r="U701" s="127">
        <f>+(T700-1)*10+2</f>
        <v>582</v>
      </c>
      <c r="V701" s="128" t="s">
        <v>314</v>
      </c>
      <c r="W701" s="129">
        <f>VLOOKUP(S700,$B$3:$M$63,3,FALSE)</f>
        <v>14.548269507323461</v>
      </c>
      <c r="X701" s="129"/>
      <c r="Y701" s="130">
        <v>0</v>
      </c>
    </row>
    <row r="702" spans="19:25" x14ac:dyDescent="0.2">
      <c r="S702" s="131"/>
      <c r="T702" s="127"/>
      <c r="U702" s="127">
        <f>+(T700-1)*10+3</f>
        <v>583</v>
      </c>
      <c r="V702" s="128" t="s">
        <v>232</v>
      </c>
      <c r="W702" s="129">
        <f>VLOOKUP(S700,$B$3:$M$63,4,FALSE)</f>
        <v>14.83080840971297</v>
      </c>
      <c r="X702" s="129"/>
      <c r="Y702" s="130">
        <v>0</v>
      </c>
    </row>
    <row r="703" spans="19:25" x14ac:dyDescent="0.2">
      <c r="S703" s="131"/>
      <c r="T703" s="127"/>
      <c r="U703" s="127">
        <f>+(T700-1)*10+4</f>
        <v>584</v>
      </c>
      <c r="V703" s="128" t="s">
        <v>317</v>
      </c>
      <c r="W703" s="129">
        <f>VLOOKUP(S700,$B$3:$M$63,5,FALSE)</f>
        <v>15.693391333931865</v>
      </c>
      <c r="X703" s="129"/>
      <c r="Y703" s="130">
        <v>0</v>
      </c>
    </row>
    <row r="704" spans="19:25" x14ac:dyDescent="0.2">
      <c r="S704" s="131"/>
      <c r="T704" s="127"/>
      <c r="U704" s="127">
        <f>+(T700-1)*10+5</f>
        <v>585</v>
      </c>
      <c r="V704" s="128" t="s">
        <v>234</v>
      </c>
      <c r="W704" s="129">
        <f>VLOOKUP(S700,$B$3:$M$63,6,FALSE)</f>
        <v>21.802999816889173</v>
      </c>
      <c r="X704" s="129"/>
      <c r="Y704" s="130">
        <v>0</v>
      </c>
    </row>
    <row r="705" spans="19:25" x14ac:dyDescent="0.2">
      <c r="S705" s="131"/>
      <c r="T705" s="127"/>
      <c r="U705" s="127">
        <f>+(T700-1)*10+6</f>
        <v>586</v>
      </c>
      <c r="V705" s="128" t="s">
        <v>235</v>
      </c>
      <c r="W705" s="129">
        <f>VLOOKUP(S700,$B$3:$M$63,7,FALSE)</f>
        <v>8.3857691603419902</v>
      </c>
      <c r="X705" s="129"/>
      <c r="Y705" s="130">
        <v>0</v>
      </c>
    </row>
    <row r="706" spans="19:25" x14ac:dyDescent="0.2">
      <c r="S706" s="131"/>
      <c r="T706" s="127"/>
      <c r="U706" s="127">
        <f>+(T700-1)*10+7</f>
        <v>587</v>
      </c>
      <c r="V706" s="128" t="s">
        <v>236</v>
      </c>
      <c r="W706" s="129">
        <f>VLOOKUP(S700,$B$3:$M$63,8,FALSE)</f>
        <v>55.34607645825713</v>
      </c>
      <c r="X706" s="129">
        <f>VLOOKUP(S700,$B$3:$M$63,11,FALSE)</f>
        <v>11.139099108976044</v>
      </c>
      <c r="Y706" s="130">
        <v>0</v>
      </c>
    </row>
    <row r="707" spans="19:25" x14ac:dyDescent="0.2">
      <c r="S707" s="131"/>
      <c r="T707" s="127"/>
      <c r="U707" s="127">
        <f>+(T700-1)*10+8</f>
        <v>588</v>
      </c>
      <c r="V707" s="128" t="s">
        <v>237</v>
      </c>
      <c r="W707" s="129"/>
      <c r="X707" s="129"/>
      <c r="Y707" s="130"/>
    </row>
    <row r="708" spans="19:25" x14ac:dyDescent="0.2">
      <c r="S708" s="131"/>
      <c r="T708" s="127"/>
      <c r="U708" s="127">
        <f>+(T700-1)*10+9</f>
        <v>589</v>
      </c>
      <c r="V708" s="128" t="s">
        <v>238</v>
      </c>
      <c r="W708" s="129">
        <f>VLOOKUP(S700,$B$3:$M$63,9,FALSE)</f>
        <v>34.494526010300362</v>
      </c>
      <c r="X708" s="129">
        <f>VLOOKUP(S700,$B$3:$M$63,12,FALSE)</f>
        <v>2.9313418707831693</v>
      </c>
      <c r="Y708" s="130">
        <v>0</v>
      </c>
    </row>
    <row r="709" spans="19:25" x14ac:dyDescent="0.2">
      <c r="T709" s="132"/>
      <c r="U709" s="127">
        <f>+(T700-1)*10+10</f>
        <v>590</v>
      </c>
      <c r="V709" s="123" t="s">
        <v>324</v>
      </c>
      <c r="W709" s="133">
        <f>SUM(W700:W708)</f>
        <v>187.45095549493823</v>
      </c>
      <c r="X709" s="133">
        <f>SUM(X700:X708)</f>
        <v>59.21310578982002</v>
      </c>
      <c r="Y709" s="125">
        <v>0</v>
      </c>
    </row>
    <row r="710" spans="19:25" x14ac:dyDescent="0.2">
      <c r="T710" s="132"/>
      <c r="U710" s="132"/>
      <c r="V710" s="132"/>
      <c r="W710" s="132"/>
      <c r="X710" s="132"/>
      <c r="Y710" s="132"/>
    </row>
    <row r="711" spans="19:25" x14ac:dyDescent="0.2">
      <c r="S711" s="122"/>
      <c r="T711" s="122"/>
      <c r="U711" s="122"/>
      <c r="V711" s="123" t="s">
        <v>227</v>
      </c>
      <c r="W711" s="124" t="s">
        <v>228</v>
      </c>
      <c r="X711" s="124" t="s">
        <v>229</v>
      </c>
      <c r="Y711" s="125" t="s">
        <v>239</v>
      </c>
    </row>
    <row r="712" spans="19:25" ht="30" x14ac:dyDescent="0.2">
      <c r="S712" s="126" t="str">
        <f>VLOOKUP(T712,$A$3:$P$63,2,FALSE)</f>
        <v>Vacant (Unfitted)*</v>
      </c>
      <c r="T712" s="127">
        <f>+T700+1</f>
        <v>60</v>
      </c>
      <c r="U712" s="127">
        <f>+(T712-1)*10+1</f>
        <v>591</v>
      </c>
      <c r="V712" s="128" t="s">
        <v>230</v>
      </c>
      <c r="W712" s="129">
        <f>VLOOKUP(S712,$B$3:$M$63,2,FALSE)</f>
        <v>0</v>
      </c>
      <c r="X712" s="129">
        <f>VLOOKUP(S712,$B$3:$M$63,10,FALSE)</f>
        <v>0</v>
      </c>
      <c r="Y712" s="130">
        <v>0</v>
      </c>
    </row>
    <row r="713" spans="19:25" x14ac:dyDescent="0.2">
      <c r="S713" s="131"/>
      <c r="T713" s="127"/>
      <c r="U713" s="127">
        <f>+(T712-1)*10+2</f>
        <v>592</v>
      </c>
      <c r="V713" s="128" t="s">
        <v>314</v>
      </c>
      <c r="W713" s="129">
        <f>VLOOKUP(S712,$B$3:$M$63,3,FALSE)</f>
        <v>0</v>
      </c>
      <c r="X713" s="129"/>
      <c r="Y713" s="130">
        <v>0</v>
      </c>
    </row>
    <row r="714" spans="19:25" x14ac:dyDescent="0.2">
      <c r="S714" s="131"/>
      <c r="T714" s="127"/>
      <c r="U714" s="127">
        <f>+(T712-1)*10+3</f>
        <v>593</v>
      </c>
      <c r="V714" s="128" t="s">
        <v>232</v>
      </c>
      <c r="W714" s="129">
        <f>VLOOKUP(S712,$B$3:$M$63,4,FALSE)</f>
        <v>0</v>
      </c>
      <c r="X714" s="129"/>
      <c r="Y714" s="130">
        <v>0</v>
      </c>
    </row>
    <row r="715" spans="19:25" x14ac:dyDescent="0.2">
      <c r="S715" s="131"/>
      <c r="T715" s="127"/>
      <c r="U715" s="127">
        <f>+(T712-1)*10+4</f>
        <v>594</v>
      </c>
      <c r="V715" s="128" t="s">
        <v>317</v>
      </c>
      <c r="W715" s="129">
        <f>VLOOKUP(S712,$B$3:$M$63,5,FALSE)</f>
        <v>0</v>
      </c>
      <c r="X715" s="129"/>
      <c r="Y715" s="130">
        <v>0</v>
      </c>
    </row>
    <row r="716" spans="19:25" x14ac:dyDescent="0.2">
      <c r="S716" s="131"/>
      <c r="T716" s="127"/>
      <c r="U716" s="127">
        <f>+(T712-1)*10+5</f>
        <v>595</v>
      </c>
      <c r="V716" s="128" t="s">
        <v>234</v>
      </c>
      <c r="W716" s="129">
        <f>VLOOKUP(S712,$B$3:$M$63,6,FALSE)</f>
        <v>0</v>
      </c>
      <c r="X716" s="129"/>
      <c r="Y716" s="130">
        <v>0</v>
      </c>
    </row>
    <row r="717" spans="19:25" x14ac:dyDescent="0.2">
      <c r="S717" s="131"/>
      <c r="T717" s="127"/>
      <c r="U717" s="127">
        <f>+(T712-1)*10+6</f>
        <v>596</v>
      </c>
      <c r="V717" s="128" t="s">
        <v>235</v>
      </c>
      <c r="W717" s="129">
        <f>VLOOKUP(S712,$B$3:$M$63,7,FALSE)</f>
        <v>0</v>
      </c>
      <c r="X717" s="129"/>
      <c r="Y717" s="130">
        <v>0</v>
      </c>
    </row>
    <row r="718" spans="19:25" x14ac:dyDescent="0.2">
      <c r="S718" s="131"/>
      <c r="T718" s="127"/>
      <c r="U718" s="127">
        <f>+(T712-1)*10+7</f>
        <v>597</v>
      </c>
      <c r="V718" s="128" t="s">
        <v>236</v>
      </c>
      <c r="W718" s="129">
        <f>VLOOKUP(S712,$B$3:$M$63,8,FALSE)</f>
        <v>0</v>
      </c>
      <c r="X718" s="129">
        <f>VLOOKUP(S712,$B$3:$M$63,11,FALSE)</f>
        <v>0</v>
      </c>
      <c r="Y718" s="130">
        <v>0</v>
      </c>
    </row>
    <row r="719" spans="19:25" x14ac:dyDescent="0.2">
      <c r="S719" s="131"/>
      <c r="T719" s="127"/>
      <c r="U719" s="127">
        <f>+(T712-1)*10+8</f>
        <v>598</v>
      </c>
      <c r="V719" s="128" t="s">
        <v>237</v>
      </c>
      <c r="W719" s="129"/>
      <c r="X719" s="129"/>
      <c r="Y719" s="130"/>
    </row>
    <row r="720" spans="19:25" x14ac:dyDescent="0.2">
      <c r="S720" s="131"/>
      <c r="T720" s="127"/>
      <c r="U720" s="127">
        <f>+(T712-1)*10+9</f>
        <v>599</v>
      </c>
      <c r="V720" s="128" t="s">
        <v>238</v>
      </c>
      <c r="W720" s="129">
        <f>VLOOKUP(S712,$B$3:$M$63,9,FALSE)</f>
        <v>0</v>
      </c>
      <c r="X720" s="129">
        <f>VLOOKUP(S712,$B$3:$M$63,12,FALSE)</f>
        <v>0</v>
      </c>
      <c r="Y720" s="130">
        <v>0</v>
      </c>
    </row>
    <row r="721" spans="19:25" x14ac:dyDescent="0.2">
      <c r="T721" s="132"/>
      <c r="U721" s="127">
        <f>+(T712-1)*10+10</f>
        <v>600</v>
      </c>
      <c r="V721" s="123" t="s">
        <v>324</v>
      </c>
      <c r="W721" s="133">
        <f>SUM(W712:W720)</f>
        <v>0</v>
      </c>
      <c r="X721" s="133">
        <f>SUM(X712:X720)</f>
        <v>0</v>
      </c>
      <c r="Y721" s="125">
        <v>0</v>
      </c>
    </row>
    <row r="722" spans="19:25" x14ac:dyDescent="0.2">
      <c r="T722" s="132"/>
      <c r="U722" s="132"/>
      <c r="V722" s="132"/>
      <c r="W722" s="132"/>
      <c r="X722" s="132"/>
      <c r="Y722" s="132"/>
    </row>
    <row r="723" spans="19:25" x14ac:dyDescent="0.2">
      <c r="S723" s="122"/>
      <c r="T723" s="122"/>
      <c r="U723" s="122"/>
      <c r="V723" s="123" t="s">
        <v>227</v>
      </c>
      <c r="W723" s="124" t="s">
        <v>228</v>
      </c>
      <c r="X723" s="124" t="s">
        <v>229</v>
      </c>
      <c r="Y723" s="125" t="s">
        <v>239</v>
      </c>
    </row>
    <row r="724" spans="19:25" ht="45" x14ac:dyDescent="0.2">
      <c r="S724" s="126" t="str">
        <f>VLOOKUP(T724,$A$3:$P$63,2,FALSE)</f>
        <v>Vacant (Unoccupied)*</v>
      </c>
      <c r="T724" s="127">
        <f>+T712+1</f>
        <v>61</v>
      </c>
      <c r="U724" s="127">
        <f>+(T724-1)*10+1</f>
        <v>601</v>
      </c>
      <c r="V724" s="128" t="s">
        <v>230</v>
      </c>
      <c r="W724" s="129">
        <f>VLOOKUP(S724,$B$3:$M$63,2,FALSE)</f>
        <v>0</v>
      </c>
      <c r="X724" s="129">
        <f>VLOOKUP(S724,$B$3:$M$63,10,FALSE)</f>
        <v>0</v>
      </c>
      <c r="Y724" s="130">
        <v>0</v>
      </c>
    </row>
    <row r="725" spans="19:25" x14ac:dyDescent="0.2">
      <c r="S725" s="131"/>
      <c r="T725" s="127"/>
      <c r="U725" s="127">
        <f>+(T724-1)*10+2</f>
        <v>602</v>
      </c>
      <c r="V725" s="128" t="s">
        <v>314</v>
      </c>
      <c r="W725" s="129">
        <f>VLOOKUP(S724,$B$3:$M$63,3,FALSE)</f>
        <v>0</v>
      </c>
      <c r="X725" s="129"/>
      <c r="Y725" s="130">
        <v>0</v>
      </c>
    </row>
    <row r="726" spans="19:25" x14ac:dyDescent="0.2">
      <c r="S726" s="131"/>
      <c r="T726" s="127"/>
      <c r="U726" s="127">
        <f>+(T724-1)*10+3</f>
        <v>603</v>
      </c>
      <c r="V726" s="128" t="s">
        <v>232</v>
      </c>
      <c r="W726" s="129">
        <f>VLOOKUP(S724,$B$3:$M$63,4,FALSE)</f>
        <v>0</v>
      </c>
      <c r="X726" s="129"/>
      <c r="Y726" s="130">
        <v>0</v>
      </c>
    </row>
    <row r="727" spans="19:25" x14ac:dyDescent="0.2">
      <c r="S727" s="131"/>
      <c r="T727" s="127"/>
      <c r="U727" s="127">
        <f>+(T724-1)*10+4</f>
        <v>604</v>
      </c>
      <c r="V727" s="128" t="s">
        <v>317</v>
      </c>
      <c r="W727" s="129">
        <f>VLOOKUP(S724,$B$3:$M$63,5,FALSE)</f>
        <v>0</v>
      </c>
      <c r="X727" s="129"/>
      <c r="Y727" s="130">
        <v>0</v>
      </c>
    </row>
    <row r="728" spans="19:25" x14ac:dyDescent="0.2">
      <c r="S728" s="131"/>
      <c r="T728" s="127"/>
      <c r="U728" s="127">
        <f>+(T724-1)*10+5</f>
        <v>605</v>
      </c>
      <c r="V728" s="128" t="s">
        <v>234</v>
      </c>
      <c r="W728" s="129">
        <f>VLOOKUP(S724,$B$3:$M$63,6,FALSE)</f>
        <v>0</v>
      </c>
      <c r="X728" s="129"/>
      <c r="Y728" s="130">
        <v>0</v>
      </c>
    </row>
    <row r="729" spans="19:25" x14ac:dyDescent="0.2">
      <c r="S729" s="131"/>
      <c r="T729" s="127"/>
      <c r="U729" s="127">
        <f>+(T724-1)*10+6</f>
        <v>606</v>
      </c>
      <c r="V729" s="128" t="s">
        <v>235</v>
      </c>
      <c r="W729" s="129">
        <f>VLOOKUP(S724,$B$3:$M$63,7,FALSE)</f>
        <v>0</v>
      </c>
      <c r="X729" s="129"/>
      <c r="Y729" s="130">
        <v>0</v>
      </c>
    </row>
    <row r="730" spans="19:25" x14ac:dyDescent="0.2">
      <c r="S730" s="131"/>
      <c r="T730" s="127"/>
      <c r="U730" s="127">
        <f>+(T724-1)*10+7</f>
        <v>607</v>
      </c>
      <c r="V730" s="128" t="s">
        <v>236</v>
      </c>
      <c r="W730" s="129">
        <f>VLOOKUP(S724,$B$3:$M$63,8,FALSE)</f>
        <v>0</v>
      </c>
      <c r="X730" s="129">
        <f>VLOOKUP(S724,$B$3:$M$63,11,FALSE)</f>
        <v>0</v>
      </c>
      <c r="Y730" s="130">
        <v>0</v>
      </c>
    </row>
    <row r="731" spans="19:25" x14ac:dyDescent="0.2">
      <c r="S731" s="131"/>
      <c r="T731" s="127"/>
      <c r="U731" s="127">
        <f>+(T724-1)*10+8</f>
        <v>608</v>
      </c>
      <c r="V731" s="128" t="s">
        <v>237</v>
      </c>
      <c r="W731" s="129"/>
      <c r="X731" s="129"/>
      <c r="Y731" s="130"/>
    </row>
    <row r="732" spans="19:25" x14ac:dyDescent="0.2">
      <c r="S732" s="131"/>
      <c r="T732" s="127"/>
      <c r="U732" s="127">
        <f>+(T724-1)*10+9</f>
        <v>609</v>
      </c>
      <c r="V732" s="128" t="s">
        <v>238</v>
      </c>
      <c r="W732" s="129">
        <f>VLOOKUP(S724,$B$3:$M$63,9,FALSE)</f>
        <v>0</v>
      </c>
      <c r="X732" s="129">
        <f>VLOOKUP(S724,$B$3:$M$63,12,FALSE)</f>
        <v>0</v>
      </c>
      <c r="Y732" s="130">
        <v>0</v>
      </c>
    </row>
    <row r="733" spans="19:25" x14ac:dyDescent="0.2">
      <c r="T733" s="132"/>
      <c r="U733" s="127">
        <f>+(T724-1)*10+10</f>
        <v>610</v>
      </c>
      <c r="V733" s="123" t="s">
        <v>324</v>
      </c>
      <c r="W733" s="133">
        <f>SUM(W724:W732)</f>
        <v>0</v>
      </c>
      <c r="X733" s="133">
        <f>SUM(X724:X732)</f>
        <v>0</v>
      </c>
      <c r="Y733" s="125">
        <v>0</v>
      </c>
    </row>
    <row r="734" spans="19:25" x14ac:dyDescent="0.2">
      <c r="T734" s="132"/>
      <c r="U734" s="132"/>
      <c r="V734" s="132"/>
      <c r="W734" s="132"/>
      <c r="X734" s="132"/>
      <c r="Y734" s="132"/>
    </row>
    <row r="735" spans="19:25" x14ac:dyDescent="0.2">
      <c r="V735" s="123"/>
      <c r="W735" s="124"/>
      <c r="X735" s="124"/>
      <c r="Y735" s="125"/>
    </row>
    <row r="736" spans="19:25" x14ac:dyDescent="0.2">
      <c r="V736" s="128"/>
      <c r="W736" s="129"/>
      <c r="X736" s="129"/>
      <c r="Y736" s="130"/>
    </row>
    <row r="737" spans="22:25" x14ac:dyDescent="0.2">
      <c r="V737" s="128"/>
      <c r="W737" s="129"/>
      <c r="X737" s="129"/>
      <c r="Y737" s="130"/>
    </row>
    <row r="738" spans="22:25" x14ac:dyDescent="0.2">
      <c r="V738" s="128"/>
      <c r="W738" s="129"/>
      <c r="X738" s="129"/>
      <c r="Y738" s="130"/>
    </row>
    <row r="739" spans="22:25" x14ac:dyDescent="0.2">
      <c r="V739" s="128"/>
      <c r="W739" s="129"/>
      <c r="X739" s="129"/>
      <c r="Y739" s="130"/>
    </row>
    <row r="740" spans="22:25" x14ac:dyDescent="0.2">
      <c r="V740" s="128"/>
      <c r="W740" s="129"/>
      <c r="X740" s="129"/>
      <c r="Y740" s="130"/>
    </row>
    <row r="741" spans="22:25" x14ac:dyDescent="0.2">
      <c r="V741" s="128"/>
      <c r="W741" s="129"/>
      <c r="X741" s="129"/>
      <c r="Y741" s="130"/>
    </row>
    <row r="742" spans="22:25" x14ac:dyDescent="0.2">
      <c r="V742" s="128"/>
      <c r="W742" s="129"/>
      <c r="X742" s="129"/>
      <c r="Y742" s="130"/>
    </row>
    <row r="743" spans="22:25" x14ac:dyDescent="0.2">
      <c r="V743" s="128"/>
      <c r="W743" s="129"/>
      <c r="X743" s="129"/>
      <c r="Y743" s="130"/>
    </row>
    <row r="744" spans="22:25" x14ac:dyDescent="0.2">
      <c r="V744" s="128"/>
      <c r="W744" s="129"/>
      <c r="X744" s="129"/>
      <c r="Y744" s="130"/>
    </row>
    <row r="745" spans="22:25" x14ac:dyDescent="0.2">
      <c r="V745" s="123"/>
      <c r="W745" s="133"/>
      <c r="X745" s="133"/>
      <c r="Y745" s="125"/>
    </row>
    <row r="746" spans="22:25" x14ac:dyDescent="0.2">
      <c r="V746" s="132"/>
      <c r="W746" s="132"/>
      <c r="X746" s="132"/>
      <c r="Y746" s="132"/>
    </row>
    <row r="747" spans="22:25" x14ac:dyDescent="0.2">
      <c r="V747" s="123"/>
      <c r="W747" s="124"/>
      <c r="X747" s="124"/>
      <c r="Y747" s="125"/>
    </row>
    <row r="748" spans="22:25" x14ac:dyDescent="0.2">
      <c r="V748" s="128"/>
      <c r="W748" s="129"/>
      <c r="X748" s="129"/>
      <c r="Y748" s="130"/>
    </row>
    <row r="749" spans="22:25" x14ac:dyDescent="0.2">
      <c r="V749" s="128"/>
      <c r="W749" s="129"/>
      <c r="X749" s="129"/>
      <c r="Y749" s="130"/>
    </row>
    <row r="750" spans="22:25" x14ac:dyDescent="0.2">
      <c r="V750" s="128"/>
      <c r="W750" s="129"/>
      <c r="X750" s="129"/>
      <c r="Y750" s="130"/>
    </row>
    <row r="751" spans="22:25" x14ac:dyDescent="0.2">
      <c r="V751" s="128"/>
      <c r="W751" s="129"/>
      <c r="X751" s="129"/>
      <c r="Y751" s="130"/>
    </row>
    <row r="752" spans="22:25" x14ac:dyDescent="0.2">
      <c r="V752" s="128"/>
      <c r="W752" s="129"/>
      <c r="X752" s="129"/>
      <c r="Y752" s="130"/>
    </row>
    <row r="753" spans="22:25" x14ac:dyDescent="0.2">
      <c r="V753" s="128"/>
      <c r="W753" s="129"/>
      <c r="X753" s="129"/>
      <c r="Y753" s="130"/>
    </row>
    <row r="754" spans="22:25" x14ac:dyDescent="0.2">
      <c r="V754" s="128"/>
      <c r="W754" s="129"/>
      <c r="X754" s="129"/>
      <c r="Y754" s="130"/>
    </row>
    <row r="755" spans="22:25" x14ac:dyDescent="0.2">
      <c r="V755" s="128"/>
      <c r="W755" s="129"/>
      <c r="X755" s="129"/>
      <c r="Y755" s="130"/>
    </row>
    <row r="756" spans="22:25" x14ac:dyDescent="0.2">
      <c r="V756" s="128"/>
      <c r="W756" s="129"/>
      <c r="X756" s="129"/>
      <c r="Y756" s="130"/>
    </row>
    <row r="757" spans="22:25" x14ac:dyDescent="0.2">
      <c r="V757" s="123"/>
      <c r="W757" s="133"/>
      <c r="X757" s="133"/>
      <c r="Y757" s="12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0" tint="-0.499984740745262"/>
  </sheetPr>
  <dimension ref="A2:T191"/>
  <sheetViews>
    <sheetView workbookViewId="0">
      <selection activeCell="I5" sqref="I5:I189"/>
    </sheetView>
  </sheetViews>
  <sheetFormatPr baseColWidth="10" defaultColWidth="8.83203125" defaultRowHeight="14" x14ac:dyDescent="0.2"/>
  <cols>
    <col min="1" max="1" width="18.33203125" style="140" customWidth="1"/>
    <col min="2" max="2" width="19.5" style="140" bestFit="1" customWidth="1"/>
    <col min="3" max="11" width="8.83203125" style="140"/>
    <col min="12" max="12" width="8.83203125" style="162"/>
    <col min="13" max="14" width="8.83203125" style="140"/>
    <col min="15" max="15" width="27.5" style="140" customWidth="1"/>
    <col min="16" max="19" width="8.83203125" style="140"/>
    <col min="20" max="20" width="43.83203125" style="140" customWidth="1"/>
    <col min="21" max="16384" width="8.83203125" style="140"/>
  </cols>
  <sheetData>
    <row r="2" spans="1:20" ht="16" x14ac:dyDescent="0.25">
      <c r="A2" s="76" t="s">
        <v>374</v>
      </c>
      <c r="B2" s="140" t="s">
        <v>179</v>
      </c>
      <c r="C2" s="140" t="s">
        <v>119</v>
      </c>
      <c r="D2" s="141">
        <f>VLOOKUP(+'Asset Information'!C13,'v6 picksheet'!I5:L183,4,FALSE)</f>
        <v>0.50519999999999998</v>
      </c>
      <c r="K2" s="140" t="s">
        <v>270</v>
      </c>
      <c r="L2" s="142" t="s">
        <v>375</v>
      </c>
    </row>
    <row r="3" spans="1:20" ht="16" thickBot="1" x14ac:dyDescent="0.25">
      <c r="A3" s="170" t="s">
        <v>376</v>
      </c>
      <c r="B3" s="140" t="s">
        <v>180</v>
      </c>
      <c r="C3" s="140" t="s">
        <v>118</v>
      </c>
      <c r="D3" s="140">
        <f>VLOOKUP(A3,$N$18:$P$38,3,FALSE)</f>
        <v>0.20776</v>
      </c>
      <c r="L3" s="140" t="s">
        <v>377</v>
      </c>
    </row>
    <row r="4" spans="1:20" ht="15" x14ac:dyDescent="0.2">
      <c r="A4" s="170" t="s">
        <v>378</v>
      </c>
      <c r="B4" s="140" t="s">
        <v>181</v>
      </c>
      <c r="D4" s="140">
        <f>VLOOKUP(A4,$N$18:$P$38,3,FALSE)</f>
        <v>0.29804999999999998</v>
      </c>
      <c r="I4" s="135" t="s">
        <v>379</v>
      </c>
      <c r="J4" s="143" t="s">
        <v>380</v>
      </c>
      <c r="K4" s="144" t="s">
        <v>381</v>
      </c>
      <c r="L4" s="145" t="s">
        <v>382</v>
      </c>
      <c r="O4" s="275"/>
      <c r="P4" s="276"/>
      <c r="S4" s="146"/>
      <c r="T4" s="147"/>
    </row>
    <row r="5" spans="1:20" ht="15" x14ac:dyDescent="0.2">
      <c r="A5" s="170" t="s">
        <v>383</v>
      </c>
      <c r="B5" s="140" t="s">
        <v>384</v>
      </c>
      <c r="D5" s="140">
        <f t="shared" ref="D5:D17" si="0">VLOOKUP(A5,$N$18:$P$38,3,FALSE)</f>
        <v>0.31563999999999998</v>
      </c>
      <c r="I5" s="10" t="s">
        <v>385</v>
      </c>
      <c r="J5" s="148">
        <v>2209</v>
      </c>
      <c r="K5" s="149">
        <v>1049</v>
      </c>
      <c r="L5" s="150">
        <v>0.3078166</v>
      </c>
      <c r="O5" s="151"/>
      <c r="P5" s="152"/>
      <c r="S5" s="153"/>
      <c r="T5" s="12"/>
    </row>
    <row r="6" spans="1:20" ht="15" x14ac:dyDescent="0.2">
      <c r="A6" s="170" t="s">
        <v>386</v>
      </c>
      <c r="D6" s="140">
        <f t="shared" si="0"/>
        <v>0.31857999999999997</v>
      </c>
      <c r="I6" s="10" t="s">
        <v>387</v>
      </c>
      <c r="J6" s="148">
        <v>1724</v>
      </c>
      <c r="K6" s="149">
        <v>683</v>
      </c>
      <c r="L6" s="150">
        <v>3.2440200000000002E-2</v>
      </c>
      <c r="O6" s="153"/>
      <c r="P6" s="154"/>
      <c r="S6" s="153"/>
      <c r="T6" s="12"/>
    </row>
    <row r="7" spans="1:20" ht="15" x14ac:dyDescent="0.2">
      <c r="A7" s="170" t="s">
        <v>277</v>
      </c>
      <c r="D7" s="140">
        <f t="shared" si="0"/>
        <v>0.31563999999999998</v>
      </c>
      <c r="I7" s="10" t="s">
        <v>388</v>
      </c>
      <c r="J7" s="148">
        <v>1177</v>
      </c>
      <c r="K7" s="149">
        <v>1154</v>
      </c>
      <c r="L7" s="150">
        <v>0.68811820000000001</v>
      </c>
      <c r="O7" s="153"/>
      <c r="P7" s="154"/>
      <c r="S7" s="153"/>
      <c r="T7" s="12"/>
    </row>
    <row r="8" spans="1:20" ht="15" x14ac:dyDescent="0.2">
      <c r="A8" s="170" t="s">
        <v>282</v>
      </c>
      <c r="D8" s="140">
        <f t="shared" si="0"/>
        <v>0.24143999999999999</v>
      </c>
      <c r="I8" s="10" t="s">
        <v>389</v>
      </c>
      <c r="J8" s="148">
        <v>42</v>
      </c>
      <c r="K8" s="149">
        <v>1510</v>
      </c>
      <c r="L8" s="150">
        <v>9.8200399999999993E-2</v>
      </c>
      <c r="O8" s="153"/>
      <c r="P8" s="154"/>
      <c r="S8" s="153"/>
      <c r="T8" s="12"/>
    </row>
    <row r="9" spans="1:20" ht="15" x14ac:dyDescent="0.2">
      <c r="A9" s="170" t="s">
        <v>390</v>
      </c>
      <c r="D9" s="140">
        <f t="shared" si="0"/>
        <v>0.2082</v>
      </c>
      <c r="I9" s="10" t="s">
        <v>391</v>
      </c>
      <c r="J9" s="148">
        <v>2000</v>
      </c>
      <c r="K9" s="149">
        <v>1000</v>
      </c>
      <c r="L9" s="150">
        <v>0.48861130000000003</v>
      </c>
      <c r="O9" s="153"/>
      <c r="P9" s="154"/>
      <c r="S9" s="153"/>
      <c r="T9" s="12"/>
    </row>
    <row r="10" spans="1:20" ht="15" x14ac:dyDescent="0.2">
      <c r="A10" s="170" t="s">
        <v>392</v>
      </c>
      <c r="D10" s="140">
        <f t="shared" si="0"/>
        <v>0.39449000000000001</v>
      </c>
      <c r="I10" s="10" t="s">
        <v>393</v>
      </c>
      <c r="J10" s="148">
        <v>1059</v>
      </c>
      <c r="K10" s="149">
        <v>889</v>
      </c>
      <c r="L10" s="150">
        <v>0.30336960000000002</v>
      </c>
      <c r="O10" s="153"/>
      <c r="P10" s="154"/>
      <c r="S10" s="153"/>
      <c r="T10" s="12"/>
    </row>
    <row r="11" spans="1:20" ht="15" x14ac:dyDescent="0.2">
      <c r="A11" s="170" t="s">
        <v>394</v>
      </c>
      <c r="D11" s="140">
        <f t="shared" si="0"/>
        <v>4.118000213350767E-2</v>
      </c>
      <c r="I11" s="10" t="s">
        <v>395</v>
      </c>
      <c r="J11" s="148">
        <v>3282</v>
      </c>
      <c r="K11" s="149">
        <v>532</v>
      </c>
      <c r="L11" s="150">
        <v>0.13829089999999999</v>
      </c>
      <c r="O11" s="153"/>
      <c r="P11" s="154"/>
      <c r="S11" s="153"/>
      <c r="T11" s="12"/>
    </row>
    <row r="12" spans="1:20" ht="15" x14ac:dyDescent="0.2">
      <c r="A12" s="170" t="s">
        <v>396</v>
      </c>
      <c r="D12" s="140">
        <f t="shared" si="0"/>
        <v>1.7998419805109297E-4</v>
      </c>
      <c r="I12" s="10" t="s">
        <v>397</v>
      </c>
      <c r="J12" s="148">
        <v>828</v>
      </c>
      <c r="K12" s="149">
        <v>839</v>
      </c>
      <c r="L12" s="150">
        <v>0.92052699999999998</v>
      </c>
      <c r="O12" s="153"/>
      <c r="P12" s="154"/>
      <c r="S12" s="153"/>
      <c r="T12" s="12"/>
    </row>
    <row r="13" spans="1:20" ht="15" x14ac:dyDescent="0.2">
      <c r="A13" s="170" t="s">
        <v>398</v>
      </c>
      <c r="D13" s="140">
        <f t="shared" si="0"/>
        <v>2.1838716785482826E-2</v>
      </c>
      <c r="I13" s="10" t="s">
        <v>399</v>
      </c>
      <c r="J13" s="148">
        <v>3446</v>
      </c>
      <c r="K13" s="149">
        <v>173</v>
      </c>
      <c r="L13" s="150">
        <v>8.5099999999999995E-2</v>
      </c>
      <c r="O13" s="153"/>
      <c r="P13" s="154"/>
      <c r="S13" s="153"/>
      <c r="T13" s="12"/>
    </row>
    <row r="14" spans="1:20" ht="16" thickBot="1" x14ac:dyDescent="0.25">
      <c r="A14" s="170" t="s">
        <v>400</v>
      </c>
      <c r="D14" s="140">
        <f t="shared" si="0"/>
        <v>4.890170669291339E-2</v>
      </c>
      <c r="I14" s="10" t="s">
        <v>401</v>
      </c>
      <c r="J14" s="148">
        <v>2056</v>
      </c>
      <c r="K14" s="149">
        <v>720</v>
      </c>
      <c r="L14" s="150">
        <v>0.47347519999999998</v>
      </c>
      <c r="O14" s="155"/>
      <c r="P14" s="156"/>
      <c r="S14" s="153"/>
      <c r="T14" s="12"/>
    </row>
    <row r="15" spans="1:20" ht="15" x14ac:dyDescent="0.2">
      <c r="A15" s="170" t="s">
        <v>402</v>
      </c>
      <c r="D15" s="140">
        <f t="shared" si="0"/>
        <v>0.1</v>
      </c>
      <c r="I15" s="10" t="s">
        <v>403</v>
      </c>
      <c r="J15" s="148">
        <v>22</v>
      </c>
      <c r="K15" s="149">
        <v>2521</v>
      </c>
      <c r="L15" s="150">
        <v>0.48861130000000003</v>
      </c>
      <c r="S15" s="153"/>
      <c r="T15" s="12"/>
    </row>
    <row r="16" spans="1:20" ht="16" thickBot="1" x14ac:dyDescent="0.25">
      <c r="A16" s="170" t="s">
        <v>404</v>
      </c>
      <c r="D16" s="140">
        <f t="shared" si="0"/>
        <v>0.14572357506711742</v>
      </c>
      <c r="I16" s="10" t="s">
        <v>405</v>
      </c>
      <c r="J16" s="148">
        <v>2000</v>
      </c>
      <c r="K16" s="149">
        <v>1000</v>
      </c>
      <c r="L16" s="150">
        <v>0.82486369999999998</v>
      </c>
      <c r="O16" s="140" t="s">
        <v>270</v>
      </c>
      <c r="P16" s="169" t="s">
        <v>406</v>
      </c>
      <c r="S16" s="153"/>
      <c r="T16" s="12"/>
    </row>
    <row r="17" spans="1:20" ht="15" x14ac:dyDescent="0.2">
      <c r="A17" s="170" t="s">
        <v>407</v>
      </c>
      <c r="D17" s="140">
        <f t="shared" si="0"/>
        <v>0.1</v>
      </c>
      <c r="I17" s="10" t="s">
        <v>408</v>
      </c>
      <c r="J17" s="148">
        <v>3</v>
      </c>
      <c r="K17" s="149">
        <v>2820</v>
      </c>
      <c r="L17" s="150">
        <v>0.58433080000000004</v>
      </c>
      <c r="O17" s="277" t="s">
        <v>409</v>
      </c>
      <c r="P17" s="278"/>
      <c r="S17" s="153"/>
      <c r="T17" s="12"/>
    </row>
    <row r="18" spans="1:20" ht="15" x14ac:dyDescent="0.2">
      <c r="A18" s="69" t="s">
        <v>410</v>
      </c>
      <c r="D18" s="140">
        <f>-D2</f>
        <v>-0.50519999999999998</v>
      </c>
      <c r="I18" s="10" t="s">
        <v>411</v>
      </c>
      <c r="J18" s="148">
        <v>0</v>
      </c>
      <c r="K18" s="149">
        <v>3270</v>
      </c>
      <c r="L18" s="150">
        <v>0.48861130000000003</v>
      </c>
      <c r="N18" s="171" t="s">
        <v>376</v>
      </c>
      <c r="O18" s="164"/>
      <c r="P18" s="171">
        <v>0.20776</v>
      </c>
      <c r="S18" s="153"/>
      <c r="T18" s="12"/>
    </row>
    <row r="19" spans="1:20" ht="15" x14ac:dyDescent="0.2">
      <c r="A19" s="69"/>
      <c r="I19" s="10" t="s">
        <v>412</v>
      </c>
      <c r="J19" s="148">
        <v>4299</v>
      </c>
      <c r="K19" s="149">
        <v>88</v>
      </c>
      <c r="L19" s="150">
        <v>0.2963771</v>
      </c>
      <c r="N19" s="171" t="s">
        <v>378</v>
      </c>
      <c r="O19" s="164"/>
      <c r="P19" s="171">
        <v>0.29804999999999998</v>
      </c>
      <c r="S19" s="153"/>
      <c r="T19" s="12"/>
    </row>
    <row r="20" spans="1:20" ht="15" x14ac:dyDescent="0.2">
      <c r="A20" s="69"/>
      <c r="I20" s="10" t="s">
        <v>413</v>
      </c>
      <c r="J20" s="148">
        <v>3009</v>
      </c>
      <c r="K20" s="149">
        <v>102</v>
      </c>
      <c r="L20" s="150">
        <v>0.1696</v>
      </c>
      <c r="N20" s="171" t="s">
        <v>383</v>
      </c>
      <c r="O20" s="164"/>
      <c r="P20" s="171">
        <v>0.31563999999999998</v>
      </c>
      <c r="S20" s="153"/>
      <c r="T20" s="12"/>
    </row>
    <row r="21" spans="1:20" ht="15" x14ac:dyDescent="0.2">
      <c r="A21" s="69"/>
      <c r="I21" s="10" t="s">
        <v>414</v>
      </c>
      <c r="J21" s="148">
        <v>0</v>
      </c>
      <c r="K21" s="149">
        <v>2916</v>
      </c>
      <c r="L21" s="150">
        <v>0.48861130000000003</v>
      </c>
      <c r="N21" s="171" t="s">
        <v>386</v>
      </c>
      <c r="O21" s="164"/>
      <c r="P21" s="171">
        <v>0.31857999999999997</v>
      </c>
      <c r="S21" s="153"/>
      <c r="T21" s="12"/>
    </row>
    <row r="22" spans="1:20" ht="15" x14ac:dyDescent="0.2">
      <c r="A22" s="69"/>
      <c r="I22" s="10" t="s">
        <v>415</v>
      </c>
      <c r="J22" s="148">
        <v>1</v>
      </c>
      <c r="K22" s="149">
        <v>3532</v>
      </c>
      <c r="L22" s="150">
        <v>0.69621259999999996</v>
      </c>
      <c r="N22" s="171" t="s">
        <v>277</v>
      </c>
      <c r="O22" s="164"/>
      <c r="P22" s="171">
        <v>0.31563999999999998</v>
      </c>
      <c r="S22" s="153"/>
      <c r="T22" s="12"/>
    </row>
    <row r="23" spans="1:20" ht="15" x14ac:dyDescent="0.2">
      <c r="A23" s="69"/>
      <c r="I23" s="10" t="s">
        <v>416</v>
      </c>
      <c r="J23" s="148">
        <v>2000</v>
      </c>
      <c r="K23" s="149">
        <v>1000</v>
      </c>
      <c r="L23" s="150">
        <v>0.3078166</v>
      </c>
      <c r="N23" s="171" t="s">
        <v>282</v>
      </c>
      <c r="O23" s="164"/>
      <c r="P23" s="171">
        <v>0.24143999999999999</v>
      </c>
      <c r="S23" s="153"/>
      <c r="T23" s="12"/>
    </row>
    <row r="24" spans="1:20" ht="15" x14ac:dyDescent="0.2">
      <c r="A24" s="69"/>
      <c r="I24" s="10" t="s">
        <v>417</v>
      </c>
      <c r="J24" s="148">
        <v>2399</v>
      </c>
      <c r="K24" s="149">
        <v>400</v>
      </c>
      <c r="L24" s="150">
        <v>0.5049688</v>
      </c>
      <c r="N24" s="171" t="s">
        <v>390</v>
      </c>
      <c r="O24" s="164"/>
      <c r="P24" s="171">
        <v>0.2082</v>
      </c>
      <c r="S24" s="153"/>
      <c r="T24" s="12"/>
    </row>
    <row r="25" spans="1:20" ht="15" x14ac:dyDescent="0.2">
      <c r="A25" s="69"/>
      <c r="I25" s="10" t="s">
        <v>418</v>
      </c>
      <c r="J25" s="148">
        <v>2949</v>
      </c>
      <c r="K25" s="149">
        <v>261</v>
      </c>
      <c r="L25" s="150">
        <v>0.32978251800000002</v>
      </c>
      <c r="N25" s="171" t="s">
        <v>392</v>
      </c>
      <c r="O25" s="164"/>
      <c r="P25" s="171">
        <v>0.39449000000000001</v>
      </c>
      <c r="S25" s="153"/>
      <c r="T25" s="12"/>
    </row>
    <row r="26" spans="1:20" x14ac:dyDescent="0.2">
      <c r="I26" s="10" t="s">
        <v>419</v>
      </c>
      <c r="J26" s="148">
        <v>360</v>
      </c>
      <c r="K26" s="149">
        <v>1637</v>
      </c>
      <c r="L26" s="150">
        <v>1.8514539000000001</v>
      </c>
      <c r="N26" s="171" t="s">
        <v>394</v>
      </c>
      <c r="O26" s="164"/>
      <c r="P26" s="171">
        <v>4.118000213350767E-2</v>
      </c>
      <c r="S26" s="153"/>
      <c r="T26" s="12"/>
    </row>
    <row r="27" spans="1:20" x14ac:dyDescent="0.2">
      <c r="I27" s="10" t="s">
        <v>420</v>
      </c>
      <c r="J27" s="148">
        <v>118</v>
      </c>
      <c r="K27" s="149">
        <v>2015</v>
      </c>
      <c r="L27" s="150">
        <v>8.1437599999999999E-2</v>
      </c>
      <c r="N27" s="171" t="s">
        <v>396</v>
      </c>
      <c r="O27" s="164"/>
      <c r="P27" s="171">
        <v>1.7998419805109297E-4</v>
      </c>
      <c r="S27" s="153"/>
      <c r="T27" s="12"/>
    </row>
    <row r="28" spans="1:20" x14ac:dyDescent="0.2">
      <c r="I28" s="10" t="s">
        <v>421</v>
      </c>
      <c r="J28" s="148">
        <v>0</v>
      </c>
      <c r="K28" s="149">
        <v>3516</v>
      </c>
      <c r="L28" s="150">
        <v>0.3078166</v>
      </c>
      <c r="N28" s="171" t="s">
        <v>398</v>
      </c>
      <c r="O28" s="164"/>
      <c r="P28" s="171">
        <v>2.1838716785482826E-2</v>
      </c>
      <c r="S28" s="153"/>
      <c r="T28" s="12"/>
    </row>
    <row r="29" spans="1:20" x14ac:dyDescent="0.2">
      <c r="I29" s="10" t="s">
        <v>422</v>
      </c>
      <c r="J29" s="148">
        <v>2624</v>
      </c>
      <c r="K29" s="149">
        <v>430</v>
      </c>
      <c r="L29" s="150">
        <v>0.47020000000000001</v>
      </c>
      <c r="N29" s="171" t="s">
        <v>400</v>
      </c>
      <c r="O29" s="164"/>
      <c r="P29" s="171">
        <v>4.890170669291339E-2</v>
      </c>
      <c r="S29" s="153"/>
      <c r="T29" s="12"/>
    </row>
    <row r="30" spans="1:20" x14ac:dyDescent="0.2">
      <c r="I30" s="10" t="s">
        <v>423</v>
      </c>
      <c r="J30" s="148">
        <v>1</v>
      </c>
      <c r="K30" s="149">
        <v>3903</v>
      </c>
      <c r="L30" s="150">
        <v>0.48861130000000003</v>
      </c>
      <c r="N30" s="171" t="s">
        <v>402</v>
      </c>
      <c r="O30" s="164"/>
      <c r="P30" s="171">
        <v>0.1</v>
      </c>
      <c r="S30" s="153"/>
      <c r="T30" s="12"/>
    </row>
    <row r="31" spans="1:20" x14ac:dyDescent="0.2">
      <c r="I31" s="10" t="s">
        <v>424</v>
      </c>
      <c r="J31" s="148">
        <v>0</v>
      </c>
      <c r="K31" s="149">
        <v>1953</v>
      </c>
      <c r="L31" s="150">
        <v>0.48861130000000003</v>
      </c>
      <c r="N31" s="171" t="s">
        <v>404</v>
      </c>
      <c r="O31" s="164"/>
      <c r="P31" s="171">
        <v>0.14572357506711742</v>
      </c>
      <c r="S31" s="153"/>
      <c r="T31" s="12"/>
    </row>
    <row r="32" spans="1:20" x14ac:dyDescent="0.2">
      <c r="I32" s="10" t="s">
        <v>425</v>
      </c>
      <c r="J32" s="148">
        <v>0</v>
      </c>
      <c r="K32" s="149">
        <v>3323</v>
      </c>
      <c r="L32" s="150">
        <v>1.0049344</v>
      </c>
      <c r="N32" s="171" t="s">
        <v>407</v>
      </c>
      <c r="O32" s="164"/>
      <c r="P32" s="171">
        <v>0.1</v>
      </c>
      <c r="S32" s="153"/>
      <c r="T32" s="12"/>
    </row>
    <row r="33" spans="9:20" x14ac:dyDescent="0.2">
      <c r="I33" s="10" t="s">
        <v>426</v>
      </c>
      <c r="J33" s="148">
        <v>0</v>
      </c>
      <c r="K33" s="149">
        <v>2682</v>
      </c>
      <c r="L33" s="150">
        <v>4.2535700000000003E-2</v>
      </c>
      <c r="O33" s="164"/>
      <c r="P33" s="165"/>
      <c r="S33" s="153"/>
      <c r="T33" s="12"/>
    </row>
    <row r="34" spans="9:20" x14ac:dyDescent="0.2">
      <c r="I34" s="10" t="s">
        <v>427</v>
      </c>
      <c r="J34" s="148">
        <v>4493</v>
      </c>
      <c r="K34" s="149">
        <v>171</v>
      </c>
      <c r="L34" s="150">
        <v>0.18417900000000001</v>
      </c>
      <c r="O34" s="164"/>
      <c r="P34" s="165"/>
      <c r="S34" s="153"/>
      <c r="T34" s="12"/>
    </row>
    <row r="35" spans="9:20" ht="15" thickBot="1" x14ac:dyDescent="0.25">
      <c r="I35" s="10" t="s">
        <v>428</v>
      </c>
      <c r="J35" s="148">
        <v>0</v>
      </c>
      <c r="K35" s="149">
        <v>2299</v>
      </c>
      <c r="L35" s="150">
        <v>0.48861130000000003</v>
      </c>
      <c r="O35" s="166"/>
      <c r="P35" s="165"/>
      <c r="S35" s="153"/>
      <c r="T35" s="12"/>
    </row>
    <row r="36" spans="9:20" ht="15" thickBot="1" x14ac:dyDescent="0.25">
      <c r="I36" s="10" t="s">
        <v>429</v>
      </c>
      <c r="J36" s="148">
        <v>0</v>
      </c>
      <c r="K36" s="149">
        <v>2560</v>
      </c>
      <c r="L36" s="150">
        <v>0.48861130000000003</v>
      </c>
      <c r="O36" s="167"/>
      <c r="P36" s="165"/>
      <c r="S36" s="153"/>
      <c r="T36" s="12"/>
    </row>
    <row r="37" spans="9:20" x14ac:dyDescent="0.2">
      <c r="I37" s="10" t="s">
        <v>430</v>
      </c>
      <c r="J37" s="148">
        <v>0</v>
      </c>
      <c r="K37" s="149">
        <v>3566</v>
      </c>
      <c r="L37" s="150">
        <v>0.48861130000000003</v>
      </c>
      <c r="O37" s="168"/>
      <c r="P37" s="165"/>
      <c r="S37" s="153"/>
      <c r="T37" s="12"/>
    </row>
    <row r="38" spans="9:20" x14ac:dyDescent="0.2">
      <c r="I38" s="10" t="s">
        <v>431</v>
      </c>
      <c r="J38" s="148">
        <v>1613</v>
      </c>
      <c r="K38" s="149">
        <v>225</v>
      </c>
      <c r="L38" s="150">
        <v>0.29424250000000002</v>
      </c>
      <c r="O38" s="167"/>
      <c r="P38" s="165"/>
      <c r="S38" s="153"/>
      <c r="T38" s="12"/>
    </row>
    <row r="39" spans="9:20" x14ac:dyDescent="0.2">
      <c r="I39" s="10" t="s">
        <v>432</v>
      </c>
      <c r="J39" s="148">
        <v>2158</v>
      </c>
      <c r="K39" s="149">
        <v>1046</v>
      </c>
      <c r="L39" s="150">
        <v>0.3078166</v>
      </c>
      <c r="O39" s="164"/>
      <c r="P39" s="165"/>
      <c r="S39" s="153"/>
      <c r="T39" s="12"/>
    </row>
    <row r="40" spans="9:20" x14ac:dyDescent="0.2">
      <c r="I40" s="10" t="s">
        <v>433</v>
      </c>
      <c r="J40" s="148">
        <v>677</v>
      </c>
      <c r="K40" s="149">
        <v>2119</v>
      </c>
      <c r="L40" s="150">
        <v>0.14961720000000001</v>
      </c>
      <c r="O40" s="164"/>
      <c r="P40" s="165"/>
      <c r="S40" s="153"/>
      <c r="T40" s="12"/>
    </row>
    <row r="41" spans="9:20" x14ac:dyDescent="0.2">
      <c r="I41" s="10" t="s">
        <v>434</v>
      </c>
      <c r="J41" s="148">
        <v>0</v>
      </c>
      <c r="K41" s="149">
        <v>2715</v>
      </c>
      <c r="L41" s="150">
        <v>0.48861130000000003</v>
      </c>
      <c r="O41" s="164"/>
      <c r="P41" s="165"/>
      <c r="S41" s="153"/>
      <c r="T41" s="12"/>
    </row>
    <row r="42" spans="9:20" x14ac:dyDescent="0.2">
      <c r="I42" s="10" t="s">
        <v>435</v>
      </c>
      <c r="J42" s="148">
        <v>0</v>
      </c>
      <c r="K42" s="149">
        <v>2462</v>
      </c>
      <c r="L42" s="150">
        <v>0.1023289</v>
      </c>
      <c r="S42" s="153"/>
      <c r="T42" s="12"/>
    </row>
    <row r="43" spans="9:20" x14ac:dyDescent="0.2">
      <c r="I43" s="10" t="s">
        <v>436</v>
      </c>
      <c r="J43" s="148">
        <v>6</v>
      </c>
      <c r="K43" s="149">
        <v>1842</v>
      </c>
      <c r="L43" s="150">
        <v>0.48861130000000003</v>
      </c>
      <c r="S43" s="153"/>
      <c r="T43" s="12"/>
    </row>
    <row r="44" spans="9:20" x14ac:dyDescent="0.2">
      <c r="I44" s="10" t="s">
        <v>437</v>
      </c>
      <c r="J44" s="148">
        <v>0</v>
      </c>
      <c r="K44" s="149">
        <v>2566</v>
      </c>
      <c r="L44" s="150">
        <v>0.58533959999999996</v>
      </c>
      <c r="S44" s="153"/>
      <c r="T44" s="12"/>
    </row>
    <row r="45" spans="9:20" x14ac:dyDescent="0.2">
      <c r="I45" s="10" t="s">
        <v>438</v>
      </c>
      <c r="J45" s="148">
        <v>1</v>
      </c>
      <c r="K45" s="149">
        <v>1487</v>
      </c>
      <c r="L45" s="150">
        <v>4.7398500000000003E-2</v>
      </c>
      <c r="S45" s="153"/>
      <c r="T45" s="12"/>
    </row>
    <row r="46" spans="9:20" x14ac:dyDescent="0.2">
      <c r="I46" s="10" t="s">
        <v>439</v>
      </c>
      <c r="J46" s="148">
        <v>0</v>
      </c>
      <c r="K46" s="149">
        <v>2937</v>
      </c>
      <c r="L46" s="150">
        <v>0.43621720000000003</v>
      </c>
      <c r="S46" s="153"/>
      <c r="T46" s="12"/>
    </row>
    <row r="47" spans="9:20" x14ac:dyDescent="0.2">
      <c r="I47" s="10" t="s">
        <v>440</v>
      </c>
      <c r="J47" s="148">
        <v>2289</v>
      </c>
      <c r="K47" s="149">
        <v>418</v>
      </c>
      <c r="L47" s="150">
        <v>0.21</v>
      </c>
      <c r="S47" s="153"/>
      <c r="T47" s="12"/>
    </row>
    <row r="48" spans="9:20" x14ac:dyDescent="0.2">
      <c r="I48" s="10" t="s">
        <v>441</v>
      </c>
      <c r="J48" s="148">
        <v>8</v>
      </c>
      <c r="K48" s="149">
        <v>2760</v>
      </c>
      <c r="L48" s="150">
        <v>1.0194388999999999</v>
      </c>
      <c r="S48" s="153"/>
      <c r="T48" s="12"/>
    </row>
    <row r="49" spans="9:20" x14ac:dyDescent="0.2">
      <c r="I49" s="10" t="s">
        <v>442</v>
      </c>
      <c r="J49" s="148">
        <v>710</v>
      </c>
      <c r="K49" s="149">
        <v>1091</v>
      </c>
      <c r="L49" s="150">
        <v>0.67689999999999995</v>
      </c>
      <c r="S49" s="153"/>
      <c r="T49" s="12"/>
    </row>
    <row r="50" spans="9:20" x14ac:dyDescent="0.2">
      <c r="I50" s="10" t="s">
        <v>443</v>
      </c>
      <c r="J50" s="148">
        <v>3569</v>
      </c>
      <c r="K50" s="149">
        <v>108</v>
      </c>
      <c r="L50" s="150">
        <v>0.52662900000000001</v>
      </c>
      <c r="S50" s="153"/>
      <c r="T50" s="12"/>
    </row>
    <row r="51" spans="9:20" x14ac:dyDescent="0.2">
      <c r="I51" s="10" t="s">
        <v>444</v>
      </c>
      <c r="J51" s="148">
        <v>3621</v>
      </c>
      <c r="K51" s="149">
        <v>40</v>
      </c>
      <c r="L51" s="150">
        <v>0.1661</v>
      </c>
      <c r="S51" s="153"/>
      <c r="T51" s="12"/>
    </row>
    <row r="52" spans="9:20" x14ac:dyDescent="0.2">
      <c r="I52" s="10" t="s">
        <v>445</v>
      </c>
      <c r="J52" s="148">
        <v>2000</v>
      </c>
      <c r="K52" s="149">
        <v>1000</v>
      </c>
      <c r="L52" s="157">
        <v>0.48861130000000003</v>
      </c>
      <c r="S52" s="153"/>
      <c r="T52" s="12"/>
    </row>
    <row r="53" spans="9:20" x14ac:dyDescent="0.2">
      <c r="I53" s="10" t="s">
        <v>446</v>
      </c>
      <c r="J53" s="148">
        <v>2000</v>
      </c>
      <c r="K53" s="149">
        <v>1000</v>
      </c>
      <c r="L53" s="157">
        <v>0.48861130000000003</v>
      </c>
      <c r="S53" s="153"/>
      <c r="T53" s="12"/>
    </row>
    <row r="54" spans="9:20" x14ac:dyDescent="0.2">
      <c r="I54" s="10" t="s">
        <v>447</v>
      </c>
      <c r="J54" s="148">
        <v>0</v>
      </c>
      <c r="K54" s="149">
        <v>3053</v>
      </c>
      <c r="L54" s="157">
        <v>0.6238551</v>
      </c>
      <c r="S54" s="153"/>
      <c r="T54" s="12"/>
    </row>
    <row r="55" spans="9:20" x14ac:dyDescent="0.2">
      <c r="I55" s="10" t="s">
        <v>448</v>
      </c>
      <c r="J55" s="148">
        <v>751</v>
      </c>
      <c r="K55" s="149">
        <v>1343</v>
      </c>
      <c r="L55" s="157">
        <v>0.3957349</v>
      </c>
      <c r="S55" s="153"/>
      <c r="T55" s="12"/>
    </row>
    <row r="56" spans="9:20" x14ac:dyDescent="0.2">
      <c r="I56" s="10" t="s">
        <v>449</v>
      </c>
      <c r="J56" s="148">
        <v>400</v>
      </c>
      <c r="K56" s="149">
        <v>1836</v>
      </c>
      <c r="L56" s="157">
        <v>0.46980840000000001</v>
      </c>
      <c r="S56" s="153"/>
      <c r="T56" s="12"/>
    </row>
    <row r="57" spans="9:20" x14ac:dyDescent="0.2">
      <c r="I57" s="10" t="s">
        <v>450</v>
      </c>
      <c r="J57" s="148">
        <v>0</v>
      </c>
      <c r="K57" s="149">
        <v>2215</v>
      </c>
      <c r="L57" s="157">
        <v>0.2167277</v>
      </c>
      <c r="S57" s="153"/>
      <c r="T57" s="12"/>
    </row>
    <row r="58" spans="9:20" x14ac:dyDescent="0.2">
      <c r="I58" s="10" t="s">
        <v>451</v>
      </c>
      <c r="J58" s="148">
        <v>2000</v>
      </c>
      <c r="K58" s="149">
        <v>1000</v>
      </c>
      <c r="L58" s="157">
        <v>0.48861130000000003</v>
      </c>
      <c r="S58" s="153"/>
      <c r="T58" s="12"/>
    </row>
    <row r="59" spans="9:20" x14ac:dyDescent="0.2">
      <c r="I59" s="10" t="s">
        <v>452</v>
      </c>
      <c r="J59" s="148">
        <v>557</v>
      </c>
      <c r="K59" s="149">
        <v>1230</v>
      </c>
      <c r="L59" s="157">
        <v>0.69034200000000001</v>
      </c>
      <c r="S59" s="153"/>
      <c r="T59" s="12"/>
    </row>
    <row r="60" spans="9:20" x14ac:dyDescent="0.2">
      <c r="I60" s="10" t="s">
        <v>453</v>
      </c>
      <c r="J60" s="148">
        <v>4605</v>
      </c>
      <c r="K60" s="149">
        <v>38</v>
      </c>
      <c r="L60" s="157">
        <v>0.81889999999999996</v>
      </c>
      <c r="S60" s="153"/>
      <c r="T60" s="12"/>
    </row>
    <row r="61" spans="9:20" x14ac:dyDescent="0.2">
      <c r="I61" s="10" t="s">
        <v>454</v>
      </c>
      <c r="J61" s="148">
        <v>190</v>
      </c>
      <c r="K61" s="149">
        <v>536</v>
      </c>
      <c r="L61" s="157">
        <v>2.9139999999999999E-3</v>
      </c>
      <c r="S61" s="153"/>
      <c r="T61" s="12"/>
    </row>
    <row r="62" spans="9:20" x14ac:dyDescent="0.2">
      <c r="I62" s="10" t="s">
        <v>455</v>
      </c>
      <c r="J62" s="148">
        <v>0</v>
      </c>
      <c r="K62" s="149">
        <v>2595</v>
      </c>
      <c r="L62" s="157">
        <v>0.58533959999999996</v>
      </c>
      <c r="S62" s="153"/>
      <c r="T62" s="12"/>
    </row>
    <row r="63" spans="9:20" x14ac:dyDescent="0.2">
      <c r="I63" s="10" t="s">
        <v>456</v>
      </c>
      <c r="J63" s="148">
        <v>5212</v>
      </c>
      <c r="K63" s="149">
        <v>48</v>
      </c>
      <c r="L63" s="157">
        <v>0.1128</v>
      </c>
      <c r="S63" s="153"/>
      <c r="T63" s="12"/>
    </row>
    <row r="64" spans="9:20" x14ac:dyDescent="0.2">
      <c r="I64" s="10" t="s">
        <v>457</v>
      </c>
      <c r="J64" s="148">
        <v>2478</v>
      </c>
      <c r="K64" s="149">
        <v>241</v>
      </c>
      <c r="L64" s="157">
        <v>5.8500000000000003E-2</v>
      </c>
      <c r="S64" s="153"/>
      <c r="T64" s="12"/>
    </row>
    <row r="65" spans="9:20" x14ac:dyDescent="0.2">
      <c r="I65" s="10" t="s">
        <v>458</v>
      </c>
      <c r="J65" s="148">
        <v>0</v>
      </c>
      <c r="K65" s="149">
        <v>2669</v>
      </c>
      <c r="L65" s="157">
        <v>0.34666049999999998</v>
      </c>
      <c r="S65" s="153"/>
      <c r="T65" s="12"/>
    </row>
    <row r="66" spans="9:20" x14ac:dyDescent="0.2">
      <c r="I66" s="10" t="s">
        <v>459</v>
      </c>
      <c r="J66" s="148">
        <v>0</v>
      </c>
      <c r="K66" s="149">
        <v>3603</v>
      </c>
      <c r="L66" s="157">
        <v>0.48861130000000003</v>
      </c>
      <c r="S66" s="153"/>
      <c r="T66" s="12"/>
    </row>
    <row r="67" spans="9:20" x14ac:dyDescent="0.2">
      <c r="I67" s="10" t="s">
        <v>460</v>
      </c>
      <c r="J67" s="148">
        <v>2216</v>
      </c>
      <c r="K67" s="149">
        <v>589</v>
      </c>
      <c r="L67" s="157">
        <v>0.14496780000000001</v>
      </c>
      <c r="S67" s="153"/>
      <c r="T67" s="12"/>
    </row>
    <row r="68" spans="9:20" x14ac:dyDescent="0.2">
      <c r="I68" s="10" t="s">
        <v>461</v>
      </c>
      <c r="J68" s="148">
        <v>3252</v>
      </c>
      <c r="K68" s="149">
        <v>122</v>
      </c>
      <c r="L68" s="157">
        <v>0.44080000000000003</v>
      </c>
      <c r="S68" s="153"/>
      <c r="T68" s="12"/>
    </row>
    <row r="69" spans="9:20" x14ac:dyDescent="0.2">
      <c r="I69" s="10" t="s">
        <v>462</v>
      </c>
      <c r="J69" s="148">
        <v>0</v>
      </c>
      <c r="K69" s="149">
        <v>2949</v>
      </c>
      <c r="L69" s="157">
        <v>0.27569850000000001</v>
      </c>
      <c r="S69" s="153"/>
      <c r="T69" s="12"/>
    </row>
    <row r="70" spans="9:20" x14ac:dyDescent="0.2">
      <c r="I70" s="10" t="s">
        <v>463</v>
      </c>
      <c r="J70" s="148">
        <v>1269</v>
      </c>
      <c r="K70" s="149">
        <v>923</v>
      </c>
      <c r="L70" s="157">
        <v>0.623</v>
      </c>
      <c r="S70" s="153"/>
      <c r="T70" s="12"/>
    </row>
    <row r="71" spans="9:20" x14ac:dyDescent="0.2">
      <c r="I71" s="10" t="s">
        <v>464</v>
      </c>
      <c r="J71" s="148">
        <v>2000</v>
      </c>
      <c r="K71" s="149">
        <v>1000</v>
      </c>
      <c r="L71" s="157">
        <v>0.48861130000000003</v>
      </c>
      <c r="S71" s="153"/>
      <c r="T71" s="12"/>
    </row>
    <row r="72" spans="9:20" x14ac:dyDescent="0.2">
      <c r="I72" s="10" t="s">
        <v>465</v>
      </c>
      <c r="J72" s="148">
        <v>174</v>
      </c>
      <c r="K72" s="149">
        <v>839</v>
      </c>
      <c r="L72" s="157">
        <v>0.33441470000000001</v>
      </c>
      <c r="S72" s="153"/>
      <c r="T72" s="12"/>
    </row>
    <row r="73" spans="9:20" x14ac:dyDescent="0.2">
      <c r="I73" s="10" t="s">
        <v>466</v>
      </c>
      <c r="J73" s="148">
        <v>0</v>
      </c>
      <c r="K73" s="149">
        <v>2674</v>
      </c>
      <c r="L73" s="157">
        <v>0.48861130000000003</v>
      </c>
      <c r="S73" s="153"/>
      <c r="T73" s="12"/>
    </row>
    <row r="74" spans="9:20" ht="15" thickBot="1" x14ac:dyDescent="0.25">
      <c r="I74" s="10" t="s">
        <v>467</v>
      </c>
      <c r="J74" s="148">
        <v>0</v>
      </c>
      <c r="K74" s="149">
        <v>3098</v>
      </c>
      <c r="L74" s="157">
        <v>0.48861130000000003</v>
      </c>
      <c r="S74" s="155"/>
      <c r="T74" s="13"/>
    </row>
    <row r="75" spans="9:20" x14ac:dyDescent="0.2">
      <c r="I75" s="10" t="s">
        <v>468</v>
      </c>
      <c r="J75" s="148">
        <v>0</v>
      </c>
      <c r="K75" s="149">
        <v>3363</v>
      </c>
      <c r="L75" s="157">
        <v>0.48861130000000003</v>
      </c>
    </row>
    <row r="76" spans="9:20" x14ac:dyDescent="0.2">
      <c r="I76" s="10" t="s">
        <v>469</v>
      </c>
      <c r="J76" s="148">
        <v>0</v>
      </c>
      <c r="K76" s="149">
        <v>3093</v>
      </c>
      <c r="L76" s="157">
        <v>0.30518250000000002</v>
      </c>
    </row>
    <row r="77" spans="9:20" x14ac:dyDescent="0.2">
      <c r="I77" s="10" t="s">
        <v>470</v>
      </c>
      <c r="J77" s="148">
        <v>2</v>
      </c>
      <c r="K77" s="149">
        <v>2289</v>
      </c>
      <c r="L77" s="157">
        <v>0.41325260000000003</v>
      </c>
    </row>
    <row r="78" spans="9:20" x14ac:dyDescent="0.2">
      <c r="I78" s="10" t="s">
        <v>471</v>
      </c>
      <c r="J78" s="148">
        <v>3057</v>
      </c>
      <c r="K78" s="149">
        <v>256</v>
      </c>
      <c r="L78" s="157">
        <v>0.26039999999999996</v>
      </c>
    </row>
    <row r="79" spans="9:20" x14ac:dyDescent="0.2">
      <c r="I79" s="10" t="s">
        <v>472</v>
      </c>
      <c r="J79" s="148">
        <v>5031</v>
      </c>
      <c r="K79" s="149">
        <v>40</v>
      </c>
      <c r="L79" s="157">
        <v>5.4199999999999995E-4</v>
      </c>
    </row>
    <row r="80" spans="9:20" x14ac:dyDescent="0.2">
      <c r="I80" s="10" t="s">
        <v>473</v>
      </c>
      <c r="J80" s="148">
        <v>80</v>
      </c>
      <c r="K80" s="149">
        <v>3120</v>
      </c>
      <c r="L80" s="157">
        <v>0.9440385</v>
      </c>
    </row>
    <row r="81" spans="9:12" x14ac:dyDescent="0.2">
      <c r="I81" s="10" t="s">
        <v>474</v>
      </c>
      <c r="J81" s="148">
        <v>0</v>
      </c>
      <c r="K81" s="149">
        <v>3545</v>
      </c>
      <c r="L81" s="157">
        <v>0.67672529999999997</v>
      </c>
    </row>
    <row r="82" spans="9:12" x14ac:dyDescent="0.2">
      <c r="I82" s="10" t="s">
        <v>475</v>
      </c>
      <c r="J82" s="148">
        <v>1813</v>
      </c>
      <c r="K82" s="149">
        <v>1037</v>
      </c>
      <c r="L82" s="157">
        <v>0.51435470000000005</v>
      </c>
    </row>
    <row r="83" spans="9:12" x14ac:dyDescent="0.2">
      <c r="I83" s="10" t="s">
        <v>476</v>
      </c>
      <c r="J83" s="148">
        <v>744</v>
      </c>
      <c r="K83" s="149">
        <v>2444</v>
      </c>
      <c r="L83" s="157">
        <v>0.70090960000000002</v>
      </c>
    </row>
    <row r="84" spans="9:12" x14ac:dyDescent="0.2">
      <c r="I84" s="10" t="s">
        <v>477</v>
      </c>
      <c r="J84" s="148">
        <v>2977</v>
      </c>
      <c r="K84" s="149">
        <v>19</v>
      </c>
      <c r="L84" s="157">
        <v>0.4249</v>
      </c>
    </row>
    <row r="85" spans="9:12" x14ac:dyDescent="0.2">
      <c r="I85" s="10" t="s">
        <v>478</v>
      </c>
      <c r="J85" s="148">
        <v>756</v>
      </c>
      <c r="K85" s="149">
        <v>1244</v>
      </c>
      <c r="L85" s="157">
        <v>0.77365099999999998</v>
      </c>
    </row>
    <row r="86" spans="9:12" x14ac:dyDescent="0.2">
      <c r="I86" s="10" t="s">
        <v>479</v>
      </c>
      <c r="J86" s="148">
        <v>1838</v>
      </c>
      <c r="K86" s="149">
        <v>600</v>
      </c>
      <c r="L86" s="157">
        <v>0.25619999999999998</v>
      </c>
    </row>
    <row r="87" spans="9:12" x14ac:dyDescent="0.2">
      <c r="I87" s="10" t="s">
        <v>480</v>
      </c>
      <c r="J87" s="148">
        <v>0</v>
      </c>
      <c r="K87" s="149">
        <v>3525</v>
      </c>
      <c r="L87" s="157">
        <v>0.82975509999999997</v>
      </c>
    </row>
    <row r="88" spans="9:12" x14ac:dyDescent="0.2">
      <c r="I88" s="10" t="s">
        <v>481</v>
      </c>
      <c r="J88" s="148">
        <v>1901</v>
      </c>
      <c r="K88" s="149">
        <v>896</v>
      </c>
      <c r="L88" s="157">
        <v>0.418346</v>
      </c>
    </row>
    <row r="89" spans="9:12" x14ac:dyDescent="0.2">
      <c r="I89" s="10" t="s">
        <v>482</v>
      </c>
      <c r="J89" s="148">
        <v>1173</v>
      </c>
      <c r="K89" s="149">
        <v>1122</v>
      </c>
      <c r="L89" s="157">
        <v>0.60187389999999996</v>
      </c>
    </row>
    <row r="90" spans="9:12" x14ac:dyDescent="0.2">
      <c r="I90" s="10" t="s">
        <v>483</v>
      </c>
      <c r="J90" s="148">
        <v>4575</v>
      </c>
      <c r="K90" s="149">
        <v>481</v>
      </c>
      <c r="L90" s="157">
        <v>0.52002649999999995</v>
      </c>
    </row>
    <row r="91" spans="9:12" x14ac:dyDescent="0.2">
      <c r="I91" s="10" t="s">
        <v>484</v>
      </c>
      <c r="J91" s="148">
        <v>91</v>
      </c>
      <c r="K91" s="149">
        <v>1265</v>
      </c>
      <c r="L91" s="157">
        <v>0.31749050000000001</v>
      </c>
    </row>
    <row r="92" spans="9:12" x14ac:dyDescent="0.2">
      <c r="I92" s="10" t="s">
        <v>485</v>
      </c>
      <c r="J92" s="148">
        <v>0</v>
      </c>
      <c r="K92" s="149">
        <v>3798</v>
      </c>
      <c r="L92" s="157">
        <v>0.58533959999999996</v>
      </c>
    </row>
    <row r="93" spans="9:12" x14ac:dyDescent="0.2">
      <c r="I93" s="10" t="s">
        <v>486</v>
      </c>
      <c r="J93" s="148">
        <v>3389</v>
      </c>
      <c r="K93" s="149">
        <v>493</v>
      </c>
      <c r="L93" s="157">
        <v>0.53319550000000004</v>
      </c>
    </row>
    <row r="94" spans="9:12" x14ac:dyDescent="0.2">
      <c r="I94" s="10" t="s">
        <v>487</v>
      </c>
      <c r="J94" s="148">
        <v>2480</v>
      </c>
      <c r="K94" s="149">
        <v>744</v>
      </c>
      <c r="L94" s="157">
        <v>0.464337</v>
      </c>
    </row>
    <row r="95" spans="9:12" x14ac:dyDescent="0.2">
      <c r="I95" s="10" t="s">
        <v>488</v>
      </c>
      <c r="J95" s="148">
        <v>322</v>
      </c>
      <c r="K95" s="149">
        <v>3166</v>
      </c>
      <c r="L95" s="157">
        <v>0.64291679999999995</v>
      </c>
    </row>
    <row r="96" spans="9:12" x14ac:dyDescent="0.2">
      <c r="I96" s="10" t="s">
        <v>489</v>
      </c>
      <c r="J96" s="148">
        <v>3161</v>
      </c>
      <c r="K96" s="149">
        <v>682</v>
      </c>
      <c r="L96" s="157">
        <v>7.9160999999999995E-2</v>
      </c>
    </row>
    <row r="97" spans="9:12" x14ac:dyDescent="0.2">
      <c r="I97" s="10" t="s">
        <v>490</v>
      </c>
      <c r="J97" s="148">
        <v>0</v>
      </c>
      <c r="K97" s="149">
        <v>2833</v>
      </c>
      <c r="L97" s="150">
        <v>0.3078166</v>
      </c>
    </row>
    <row r="98" spans="9:12" x14ac:dyDescent="0.2">
      <c r="I98" s="10" t="s">
        <v>491</v>
      </c>
      <c r="J98" s="148">
        <v>4237</v>
      </c>
      <c r="K98" s="149">
        <v>58</v>
      </c>
      <c r="L98" s="157">
        <v>0.10490000000000001</v>
      </c>
    </row>
    <row r="99" spans="9:12" x14ac:dyDescent="0.2">
      <c r="I99" s="10" t="s">
        <v>492</v>
      </c>
      <c r="J99" s="148">
        <v>1117</v>
      </c>
      <c r="K99" s="149">
        <v>812</v>
      </c>
      <c r="L99" s="157">
        <v>0.69464970000000004</v>
      </c>
    </row>
    <row r="100" spans="9:12" x14ac:dyDescent="0.2">
      <c r="I100" s="10" t="s">
        <v>493</v>
      </c>
      <c r="J100" s="148">
        <v>2000</v>
      </c>
      <c r="K100" s="149">
        <v>1000</v>
      </c>
      <c r="L100" s="157">
        <v>0.48861130000000003</v>
      </c>
    </row>
    <row r="101" spans="9:12" x14ac:dyDescent="0.2">
      <c r="I101" s="10" t="s">
        <v>494</v>
      </c>
      <c r="J101" s="148">
        <v>0</v>
      </c>
      <c r="K101" s="149">
        <v>2851</v>
      </c>
      <c r="L101" s="157">
        <v>0.48861130000000003</v>
      </c>
    </row>
    <row r="102" spans="9:12" x14ac:dyDescent="0.2">
      <c r="I102" s="10" t="s">
        <v>495</v>
      </c>
      <c r="J102" s="148">
        <v>606</v>
      </c>
      <c r="K102" s="149">
        <v>1670</v>
      </c>
      <c r="L102" s="157">
        <v>0.87882859999999996</v>
      </c>
    </row>
    <row r="103" spans="9:12" x14ac:dyDescent="0.2">
      <c r="I103" s="10" t="s">
        <v>496</v>
      </c>
      <c r="J103" s="148">
        <v>4218</v>
      </c>
      <c r="K103" s="149">
        <v>68</v>
      </c>
      <c r="L103" s="157">
        <v>1.7999999999999999E-2</v>
      </c>
    </row>
    <row r="104" spans="9:12" x14ac:dyDescent="0.2">
      <c r="I104" s="10" t="s">
        <v>497</v>
      </c>
      <c r="J104" s="148">
        <v>3467</v>
      </c>
      <c r="K104" s="149">
        <v>99</v>
      </c>
      <c r="L104" s="157">
        <v>0.21930000000000002</v>
      </c>
    </row>
    <row r="105" spans="9:12" x14ac:dyDescent="0.2">
      <c r="I105" s="10" t="s">
        <v>498</v>
      </c>
      <c r="J105" s="148">
        <v>2647</v>
      </c>
      <c r="K105" s="149">
        <v>430</v>
      </c>
      <c r="L105" s="157">
        <v>0.32978251800000002</v>
      </c>
    </row>
    <row r="106" spans="9:12" x14ac:dyDescent="0.2">
      <c r="I106" s="10" t="s">
        <v>499</v>
      </c>
      <c r="J106" s="148">
        <v>200</v>
      </c>
      <c r="K106" s="149">
        <v>1607</v>
      </c>
      <c r="L106" s="157">
        <v>0.48861130000000003</v>
      </c>
    </row>
    <row r="107" spans="9:12" x14ac:dyDescent="0.2">
      <c r="I107" s="10" t="s">
        <v>500</v>
      </c>
      <c r="J107" s="148">
        <v>135</v>
      </c>
      <c r="K107" s="149">
        <v>992</v>
      </c>
      <c r="L107" s="157">
        <v>0.48861130000000003</v>
      </c>
    </row>
    <row r="108" spans="9:12" x14ac:dyDescent="0.2">
      <c r="I108" s="10" t="s">
        <v>501</v>
      </c>
      <c r="J108" s="148">
        <v>0</v>
      </c>
      <c r="K108" s="149">
        <v>3411</v>
      </c>
      <c r="L108" s="157">
        <v>0.6553582</v>
      </c>
    </row>
    <row r="109" spans="9:12" x14ac:dyDescent="0.2">
      <c r="I109" s="10" t="s">
        <v>502</v>
      </c>
      <c r="J109" s="148">
        <v>2000</v>
      </c>
      <c r="K109" s="149">
        <v>1000</v>
      </c>
      <c r="L109" s="157">
        <v>0.3078166</v>
      </c>
    </row>
    <row r="110" spans="9:12" x14ac:dyDescent="0.2">
      <c r="I110" s="10" t="s">
        <v>503</v>
      </c>
      <c r="J110" s="148">
        <v>2</v>
      </c>
      <c r="K110" s="149">
        <v>4064</v>
      </c>
      <c r="L110" s="157">
        <v>0.48861130000000003</v>
      </c>
    </row>
    <row r="111" spans="9:12" x14ac:dyDescent="0.2">
      <c r="I111" s="10" t="s">
        <v>504</v>
      </c>
      <c r="J111" s="148">
        <v>725</v>
      </c>
      <c r="K111" s="149">
        <v>1043</v>
      </c>
      <c r="L111" s="157">
        <v>0.64800000000000002</v>
      </c>
    </row>
    <row r="112" spans="9:12" x14ac:dyDescent="0.2">
      <c r="I112" s="10" t="s">
        <v>505</v>
      </c>
      <c r="J112" s="148">
        <v>4</v>
      </c>
      <c r="K112" s="149">
        <v>3525</v>
      </c>
      <c r="L112" s="157">
        <v>0.48861130000000003</v>
      </c>
    </row>
    <row r="113" spans="9:12" x14ac:dyDescent="0.2">
      <c r="I113" s="10" t="s">
        <v>506</v>
      </c>
      <c r="J113" s="148">
        <v>8</v>
      </c>
      <c r="K113" s="149">
        <v>2148</v>
      </c>
      <c r="L113" s="157">
        <v>0.48861130000000003</v>
      </c>
    </row>
    <row r="114" spans="9:12" x14ac:dyDescent="0.2">
      <c r="I114" s="10" t="s">
        <v>507</v>
      </c>
      <c r="J114" s="148">
        <v>364</v>
      </c>
      <c r="K114" s="149">
        <v>1560</v>
      </c>
      <c r="L114" s="157">
        <v>0.54128500000000002</v>
      </c>
    </row>
    <row r="115" spans="9:12" x14ac:dyDescent="0.2">
      <c r="I115" s="10" t="s">
        <v>508</v>
      </c>
      <c r="J115" s="148">
        <v>3317</v>
      </c>
      <c r="K115" s="149">
        <v>325</v>
      </c>
      <c r="L115" s="157">
        <v>0.47556799999999999</v>
      </c>
    </row>
    <row r="116" spans="9:12" x14ac:dyDescent="0.2">
      <c r="I116" s="10" t="s">
        <v>509</v>
      </c>
      <c r="J116" s="148">
        <v>6681</v>
      </c>
      <c r="K116" s="149">
        <v>82</v>
      </c>
      <c r="L116" s="157">
        <v>0.52331000000000005</v>
      </c>
    </row>
    <row r="117" spans="9:12" x14ac:dyDescent="0.2">
      <c r="I117" s="10" t="s">
        <v>510</v>
      </c>
      <c r="J117" s="148">
        <v>772</v>
      </c>
      <c r="K117" s="149">
        <v>910</v>
      </c>
      <c r="L117" s="157">
        <v>0.70790120000000001</v>
      </c>
    </row>
    <row r="118" spans="9:12" x14ac:dyDescent="0.2">
      <c r="I118" s="10" t="s">
        <v>511</v>
      </c>
      <c r="J118" s="148">
        <v>21</v>
      </c>
      <c r="K118" s="149">
        <v>2085</v>
      </c>
      <c r="L118" s="157">
        <v>1.0177999999999999E-3</v>
      </c>
    </row>
    <row r="119" spans="9:12" x14ac:dyDescent="0.2">
      <c r="I119" s="10" t="s">
        <v>512</v>
      </c>
      <c r="J119" s="148">
        <v>0</v>
      </c>
      <c r="K119" s="149">
        <v>3180</v>
      </c>
      <c r="L119" s="157">
        <v>0.3382211</v>
      </c>
    </row>
    <row r="120" spans="9:12" x14ac:dyDescent="0.2">
      <c r="I120" s="10" t="s">
        <v>513</v>
      </c>
      <c r="J120" s="148">
        <v>450</v>
      </c>
      <c r="K120" s="149">
        <v>1242</v>
      </c>
      <c r="L120" s="157">
        <v>7.5646900000000003E-2</v>
      </c>
    </row>
    <row r="121" spans="9:12" x14ac:dyDescent="0.2">
      <c r="I121" s="10" t="s">
        <v>514</v>
      </c>
      <c r="J121" s="148">
        <v>0</v>
      </c>
      <c r="K121" s="149">
        <v>3599</v>
      </c>
      <c r="L121" s="157">
        <v>0.58533959999999996</v>
      </c>
    </row>
    <row r="122" spans="9:12" x14ac:dyDescent="0.2">
      <c r="I122" s="10" t="s">
        <v>515</v>
      </c>
      <c r="J122" s="148">
        <v>762</v>
      </c>
      <c r="K122" s="149">
        <v>970</v>
      </c>
      <c r="L122" s="157">
        <v>3.7996000000000002E-3</v>
      </c>
    </row>
    <row r="123" spans="9:12" x14ac:dyDescent="0.2">
      <c r="I123" s="10" t="s">
        <v>51</v>
      </c>
      <c r="J123" s="148">
        <v>3035</v>
      </c>
      <c r="K123" s="149">
        <v>68</v>
      </c>
      <c r="L123" s="157">
        <v>0.50519999999999998</v>
      </c>
    </row>
    <row r="124" spans="9:12" x14ac:dyDescent="0.2">
      <c r="I124" s="10" t="s">
        <v>516</v>
      </c>
      <c r="J124" s="148">
        <v>1609</v>
      </c>
      <c r="K124" s="149">
        <v>165</v>
      </c>
      <c r="L124" s="157">
        <v>0.30909999999999999</v>
      </c>
    </row>
    <row r="125" spans="9:12" x14ac:dyDescent="0.2">
      <c r="I125" s="10" t="s">
        <v>517</v>
      </c>
      <c r="J125" s="148">
        <v>0</v>
      </c>
      <c r="K125" s="149">
        <v>3250</v>
      </c>
      <c r="L125" s="157">
        <v>0.54976369999999997</v>
      </c>
    </row>
    <row r="126" spans="9:12" x14ac:dyDescent="0.2">
      <c r="I126" s="10" t="s">
        <v>518</v>
      </c>
      <c r="J126" s="148">
        <v>3</v>
      </c>
      <c r="K126" s="149">
        <v>4033</v>
      </c>
      <c r="L126" s="157">
        <v>0.48861130000000003</v>
      </c>
    </row>
    <row r="127" spans="9:12" x14ac:dyDescent="0.2">
      <c r="I127" s="10" t="s">
        <v>519</v>
      </c>
      <c r="J127" s="148">
        <v>0</v>
      </c>
      <c r="K127" s="149">
        <v>3111</v>
      </c>
      <c r="L127" s="157">
        <v>0.38613779999999998</v>
      </c>
    </row>
    <row r="128" spans="9:12" x14ac:dyDescent="0.2">
      <c r="I128" s="10" t="s">
        <v>520</v>
      </c>
      <c r="J128" s="148">
        <v>0</v>
      </c>
      <c r="K128" s="149">
        <v>2463</v>
      </c>
      <c r="L128" s="157">
        <v>0.58533959999999996</v>
      </c>
    </row>
    <row r="129" spans="9:12" x14ac:dyDescent="0.2">
      <c r="I129" s="10" t="s">
        <v>521</v>
      </c>
      <c r="J129" s="148">
        <v>4535</v>
      </c>
      <c r="K129" s="149">
        <v>43</v>
      </c>
      <c r="L129" s="157">
        <v>6.8669999999999998E-3</v>
      </c>
    </row>
    <row r="130" spans="9:12" x14ac:dyDescent="0.2">
      <c r="I130" s="10" t="s">
        <v>522</v>
      </c>
      <c r="J130" s="148">
        <v>0</v>
      </c>
      <c r="K130" s="149">
        <v>3657</v>
      </c>
      <c r="L130" s="157">
        <v>0.85611269999999995</v>
      </c>
    </row>
    <row r="131" spans="9:12" x14ac:dyDescent="0.2">
      <c r="I131" s="10" t="s">
        <v>523</v>
      </c>
      <c r="J131" s="148">
        <v>831</v>
      </c>
      <c r="K131" s="149">
        <v>2810</v>
      </c>
      <c r="L131" s="157">
        <v>0.41280820000000001</v>
      </c>
    </row>
    <row r="132" spans="9:12" x14ac:dyDescent="0.2">
      <c r="I132" s="10" t="s">
        <v>524</v>
      </c>
      <c r="J132" s="148">
        <v>0</v>
      </c>
      <c r="K132" s="149">
        <v>3498</v>
      </c>
      <c r="L132" s="157">
        <v>0.58533959999999996</v>
      </c>
    </row>
    <row r="133" spans="9:12" x14ac:dyDescent="0.2">
      <c r="I133" s="10" t="s">
        <v>525</v>
      </c>
      <c r="J133" s="148">
        <v>0</v>
      </c>
      <c r="K133" s="149">
        <v>3638</v>
      </c>
      <c r="L133" s="157">
        <v>0.22884389999999999</v>
      </c>
    </row>
    <row r="134" spans="9:12" x14ac:dyDescent="0.2">
      <c r="I134" s="10" t="s">
        <v>526</v>
      </c>
      <c r="J134" s="148">
        <v>1</v>
      </c>
      <c r="K134" s="149">
        <v>3286</v>
      </c>
      <c r="L134" s="157">
        <v>0.58533959999999996</v>
      </c>
    </row>
    <row r="135" spans="9:12" x14ac:dyDescent="0.2">
      <c r="I135" s="10" t="s">
        <v>527</v>
      </c>
      <c r="J135" s="148">
        <v>239</v>
      </c>
      <c r="K135" s="149">
        <v>2197</v>
      </c>
      <c r="L135" s="157">
        <v>0</v>
      </c>
    </row>
    <row r="136" spans="9:12" x14ac:dyDescent="0.2">
      <c r="I136" s="10" t="s">
        <v>528</v>
      </c>
      <c r="J136" s="148">
        <v>285</v>
      </c>
      <c r="K136" s="149">
        <v>1174</v>
      </c>
      <c r="L136" s="157">
        <v>0.17232349999999999</v>
      </c>
    </row>
    <row r="137" spans="9:12" x14ac:dyDescent="0.2">
      <c r="I137" s="10" t="s">
        <v>529</v>
      </c>
      <c r="J137" s="148">
        <v>2</v>
      </c>
      <c r="K137" s="149">
        <v>3508</v>
      </c>
      <c r="L137" s="157">
        <v>0.43500610000000001</v>
      </c>
    </row>
    <row r="138" spans="9:12" x14ac:dyDescent="0.2">
      <c r="I138" s="10" t="s">
        <v>530</v>
      </c>
      <c r="J138" s="148">
        <v>3719</v>
      </c>
      <c r="K138" s="149">
        <v>100</v>
      </c>
      <c r="L138" s="157">
        <v>0.77329999999999999</v>
      </c>
    </row>
    <row r="139" spans="9:12" x14ac:dyDescent="0.2">
      <c r="I139" s="10" t="s">
        <v>531</v>
      </c>
      <c r="J139" s="148">
        <v>1367</v>
      </c>
      <c r="K139" s="149">
        <v>345</v>
      </c>
      <c r="L139" s="157">
        <v>0.32469999999999999</v>
      </c>
    </row>
    <row r="140" spans="9:12" x14ac:dyDescent="0.2">
      <c r="I140" s="10" t="s">
        <v>532</v>
      </c>
      <c r="J140" s="148">
        <v>29</v>
      </c>
      <c r="K140" s="149">
        <v>3374</v>
      </c>
      <c r="L140" s="157">
        <v>0.62571410000000005</v>
      </c>
    </row>
    <row r="141" spans="9:12" x14ac:dyDescent="0.2">
      <c r="I141" s="10" t="s">
        <v>533</v>
      </c>
      <c r="J141" s="148">
        <v>3157</v>
      </c>
      <c r="K141" s="149">
        <v>290</v>
      </c>
      <c r="L141" s="157">
        <v>0.30599999999999999</v>
      </c>
    </row>
    <row r="142" spans="9:12" x14ac:dyDescent="0.2">
      <c r="I142" s="10" t="s">
        <v>534</v>
      </c>
      <c r="J142" s="148">
        <v>5235</v>
      </c>
      <c r="K142" s="149">
        <v>197</v>
      </c>
      <c r="L142" s="157">
        <v>0.32856540000000001</v>
      </c>
    </row>
    <row r="143" spans="9:12" x14ac:dyDescent="0.2">
      <c r="I143" s="10" t="s">
        <v>535</v>
      </c>
      <c r="J143" s="148">
        <v>2000</v>
      </c>
      <c r="K143" s="149">
        <v>1000</v>
      </c>
      <c r="L143" s="157">
        <v>0.48861130000000003</v>
      </c>
    </row>
    <row r="144" spans="9:12" x14ac:dyDescent="0.2">
      <c r="I144" s="10" t="s">
        <v>536</v>
      </c>
      <c r="J144" s="148">
        <v>1</v>
      </c>
      <c r="K144" s="149">
        <v>3541</v>
      </c>
      <c r="L144" s="150">
        <v>0.50899280000000002</v>
      </c>
    </row>
    <row r="145" spans="9:12" x14ac:dyDescent="0.2">
      <c r="I145" s="10" t="s">
        <v>537</v>
      </c>
      <c r="J145" s="148">
        <v>2000</v>
      </c>
      <c r="K145" s="149">
        <v>1000</v>
      </c>
      <c r="L145" s="157">
        <v>0.58533959999999996</v>
      </c>
    </row>
    <row r="146" spans="9:12" x14ac:dyDescent="0.2">
      <c r="I146" s="10" t="s">
        <v>538</v>
      </c>
      <c r="J146" s="148">
        <v>2000</v>
      </c>
      <c r="K146" s="149">
        <v>1000</v>
      </c>
      <c r="L146" s="157">
        <v>0.58533959999999996</v>
      </c>
    </row>
    <row r="147" spans="9:12" x14ac:dyDescent="0.2">
      <c r="I147" s="10" t="s">
        <v>539</v>
      </c>
      <c r="J147" s="148">
        <v>0</v>
      </c>
      <c r="K147" s="149">
        <v>3280</v>
      </c>
      <c r="L147" s="157">
        <v>0.58533959999999996</v>
      </c>
    </row>
    <row r="148" spans="9:12" x14ac:dyDescent="0.2">
      <c r="I148" s="10" t="s">
        <v>540</v>
      </c>
      <c r="J148" s="148">
        <v>0</v>
      </c>
      <c r="K148" s="149">
        <v>2675</v>
      </c>
      <c r="L148" s="157">
        <v>0.48861130000000003</v>
      </c>
    </row>
    <row r="149" spans="9:12" x14ac:dyDescent="0.2">
      <c r="I149" s="10" t="s">
        <v>541</v>
      </c>
      <c r="J149" s="148">
        <v>311</v>
      </c>
      <c r="K149" s="149">
        <v>3136</v>
      </c>
      <c r="L149" s="157">
        <v>0.75537339999999997</v>
      </c>
    </row>
    <row r="150" spans="9:12" x14ac:dyDescent="0.2">
      <c r="I150" s="10" t="s">
        <v>542</v>
      </c>
      <c r="J150" s="148">
        <v>1</v>
      </c>
      <c r="K150" s="149">
        <v>3379</v>
      </c>
      <c r="L150" s="157">
        <v>0.72589490000000001</v>
      </c>
    </row>
    <row r="151" spans="9:12" x14ac:dyDescent="0.2">
      <c r="I151" s="10" t="s">
        <v>543</v>
      </c>
      <c r="J151" s="148">
        <v>2813</v>
      </c>
      <c r="K151" s="149">
        <v>334</v>
      </c>
      <c r="L151" s="157">
        <v>0.71559110000000004</v>
      </c>
    </row>
    <row r="152" spans="9:12" x14ac:dyDescent="0.2">
      <c r="I152" s="10" t="s">
        <v>544</v>
      </c>
      <c r="J152" s="148">
        <v>3</v>
      </c>
      <c r="K152" s="149">
        <v>3460</v>
      </c>
      <c r="L152" s="157">
        <v>0.48861130000000003</v>
      </c>
    </row>
    <row r="153" spans="9:12" x14ac:dyDescent="0.2">
      <c r="I153" s="10" t="s">
        <v>545</v>
      </c>
      <c r="J153" s="148">
        <v>0</v>
      </c>
      <c r="K153" s="149">
        <v>3093</v>
      </c>
      <c r="L153" s="157">
        <v>0.48861130000000003</v>
      </c>
    </row>
    <row r="154" spans="9:12" x14ac:dyDescent="0.2">
      <c r="I154" s="10" t="s">
        <v>546</v>
      </c>
      <c r="J154" s="148">
        <v>0</v>
      </c>
      <c r="K154" s="149">
        <v>3261</v>
      </c>
      <c r="L154" s="157">
        <v>0.53605860000000005</v>
      </c>
    </row>
    <row r="155" spans="9:12" x14ac:dyDescent="0.2">
      <c r="I155" s="10" t="s">
        <v>547</v>
      </c>
      <c r="J155" s="148">
        <v>3498</v>
      </c>
      <c r="K155" s="149">
        <v>158</v>
      </c>
      <c r="L155" s="157">
        <v>0.1323</v>
      </c>
    </row>
    <row r="156" spans="9:12" x14ac:dyDescent="0.2">
      <c r="I156" s="10" t="s">
        <v>548</v>
      </c>
      <c r="J156" s="148">
        <v>3290</v>
      </c>
      <c r="K156" s="149">
        <v>189</v>
      </c>
      <c r="L156" s="157">
        <v>0.25409999999999999</v>
      </c>
    </row>
    <row r="157" spans="9:12" x14ac:dyDescent="0.2">
      <c r="I157" s="10" t="s">
        <v>549</v>
      </c>
      <c r="J157" s="148">
        <v>0</v>
      </c>
      <c r="K157" s="149">
        <v>3093</v>
      </c>
      <c r="L157" s="157">
        <v>0.3078166</v>
      </c>
    </row>
    <row r="158" spans="9:12" x14ac:dyDescent="0.2">
      <c r="I158" s="10" t="s">
        <v>550</v>
      </c>
      <c r="J158" s="148">
        <v>630</v>
      </c>
      <c r="K158" s="149">
        <v>824</v>
      </c>
      <c r="L158" s="157">
        <v>0.86899959999999998</v>
      </c>
    </row>
    <row r="159" spans="9:12" x14ac:dyDescent="0.2">
      <c r="I159" s="10" t="s">
        <v>551</v>
      </c>
      <c r="J159" s="148">
        <v>1431</v>
      </c>
      <c r="K159" s="149">
        <v>702</v>
      </c>
      <c r="L159" s="157">
        <v>0.26539999999999997</v>
      </c>
    </row>
    <row r="160" spans="9:12" x14ac:dyDescent="0.2">
      <c r="I160" s="10" t="s">
        <v>552</v>
      </c>
      <c r="J160" s="148">
        <v>87</v>
      </c>
      <c r="K160" s="149">
        <v>2943</v>
      </c>
      <c r="L160" s="157">
        <v>0.31372440000000001</v>
      </c>
    </row>
    <row r="161" spans="9:12" x14ac:dyDescent="0.2">
      <c r="I161" s="10" t="s">
        <v>553</v>
      </c>
      <c r="J161" s="148">
        <v>0</v>
      </c>
      <c r="K161" s="149">
        <v>3486</v>
      </c>
      <c r="L161" s="157">
        <v>0.61391830000000003</v>
      </c>
    </row>
    <row r="162" spans="9:12" x14ac:dyDescent="0.2">
      <c r="I162" s="10" t="s">
        <v>554</v>
      </c>
      <c r="J162" s="148">
        <v>0</v>
      </c>
      <c r="K162" s="149">
        <v>3252</v>
      </c>
      <c r="L162" s="157">
        <v>0.48861130000000003</v>
      </c>
    </row>
    <row r="163" spans="9:12" x14ac:dyDescent="0.2">
      <c r="I163" s="10" t="s">
        <v>555</v>
      </c>
      <c r="J163" s="148">
        <v>2000</v>
      </c>
      <c r="K163" s="149">
        <v>1000</v>
      </c>
      <c r="L163" s="157">
        <v>0.48861130000000003</v>
      </c>
    </row>
    <row r="164" spans="9:12" x14ac:dyDescent="0.2">
      <c r="I164" s="10" t="s">
        <v>556</v>
      </c>
      <c r="J164" s="148">
        <v>4375</v>
      </c>
      <c r="K164" s="149">
        <v>45</v>
      </c>
      <c r="L164" s="157">
        <v>1.3300000000000001E-2</v>
      </c>
    </row>
    <row r="165" spans="9:12" x14ac:dyDescent="0.2">
      <c r="I165" s="10" t="s">
        <v>557</v>
      </c>
      <c r="J165" s="148">
        <v>3419</v>
      </c>
      <c r="K165" s="149">
        <v>137</v>
      </c>
      <c r="L165" s="157">
        <v>2.5722999999999999E-2</v>
      </c>
    </row>
    <row r="166" spans="9:12" x14ac:dyDescent="0.2">
      <c r="I166" s="10" t="s">
        <v>558</v>
      </c>
      <c r="J166" s="148">
        <v>1388</v>
      </c>
      <c r="K166" s="149">
        <v>1187</v>
      </c>
      <c r="L166" s="157">
        <v>0.60439920000000003</v>
      </c>
    </row>
    <row r="167" spans="9:12" x14ac:dyDescent="0.2">
      <c r="I167" s="10" t="s">
        <v>559</v>
      </c>
      <c r="J167" s="148">
        <v>231</v>
      </c>
      <c r="K167" s="149">
        <v>2132</v>
      </c>
      <c r="L167" s="157">
        <v>0.3078166</v>
      </c>
    </row>
    <row r="168" spans="9:12" x14ac:dyDescent="0.2">
      <c r="I168" s="10" t="s">
        <v>560</v>
      </c>
      <c r="J168" s="148">
        <v>2054</v>
      </c>
      <c r="K168" s="149">
        <v>1203</v>
      </c>
      <c r="L168" s="157">
        <v>2.8018299999999999E-2</v>
      </c>
    </row>
    <row r="169" spans="9:12" x14ac:dyDescent="0.2">
      <c r="I169" s="10" t="s">
        <v>561</v>
      </c>
      <c r="J169" s="148">
        <v>2</v>
      </c>
      <c r="K169" s="149">
        <v>2922</v>
      </c>
      <c r="L169" s="157">
        <v>0.31551220000000002</v>
      </c>
    </row>
    <row r="170" spans="9:12" x14ac:dyDescent="0.2">
      <c r="I170" s="10" t="s">
        <v>562</v>
      </c>
      <c r="J170" s="148">
        <v>1</v>
      </c>
      <c r="K170" s="149">
        <v>3567</v>
      </c>
      <c r="L170" s="157">
        <v>0.5109283</v>
      </c>
    </row>
    <row r="171" spans="9:12" x14ac:dyDescent="0.2">
      <c r="I171" s="10" t="s">
        <v>563</v>
      </c>
      <c r="J171" s="148">
        <v>1</v>
      </c>
      <c r="K171" s="149">
        <v>3318</v>
      </c>
      <c r="L171" s="157">
        <v>0.45866970000000001</v>
      </c>
    </row>
    <row r="172" spans="9:12" x14ac:dyDescent="0.2">
      <c r="I172" s="10" t="s">
        <v>564</v>
      </c>
      <c r="J172" s="148">
        <v>0</v>
      </c>
      <c r="K172" s="149">
        <v>2190</v>
      </c>
      <c r="L172" s="157">
        <v>0.58533959999999996</v>
      </c>
    </row>
    <row r="173" spans="9:12" x14ac:dyDescent="0.2">
      <c r="I173" s="10" t="s">
        <v>565</v>
      </c>
      <c r="J173" s="148">
        <v>0</v>
      </c>
      <c r="K173" s="149">
        <v>3316</v>
      </c>
      <c r="L173" s="157">
        <v>0.58533959999999996</v>
      </c>
    </row>
    <row r="174" spans="9:12" x14ac:dyDescent="0.2">
      <c r="I174" s="10" t="s">
        <v>566</v>
      </c>
      <c r="J174" s="148">
        <v>892</v>
      </c>
      <c r="K174" s="149">
        <v>1184</v>
      </c>
      <c r="L174" s="157">
        <v>0.54585859999999997</v>
      </c>
    </row>
    <row r="175" spans="9:12" x14ac:dyDescent="0.2">
      <c r="I175" s="10" t="s">
        <v>567</v>
      </c>
      <c r="J175" s="148">
        <v>2048</v>
      </c>
      <c r="K175" s="149">
        <v>641</v>
      </c>
      <c r="L175" s="157">
        <v>0.438222</v>
      </c>
    </row>
    <row r="176" spans="9:12" x14ac:dyDescent="0.2">
      <c r="I176" s="10" t="s">
        <v>568</v>
      </c>
      <c r="J176" s="148">
        <v>2218</v>
      </c>
      <c r="K176" s="149">
        <v>1235</v>
      </c>
      <c r="L176" s="157">
        <v>0.79513040000000001</v>
      </c>
    </row>
    <row r="177" spans="9:12" x14ac:dyDescent="0.2">
      <c r="I177" s="10" t="s">
        <v>569</v>
      </c>
      <c r="J177" s="148">
        <v>0</v>
      </c>
      <c r="K177" s="149">
        <v>1458</v>
      </c>
      <c r="L177" s="157">
        <v>0.48861130000000003</v>
      </c>
    </row>
    <row r="178" spans="9:12" x14ac:dyDescent="0.2">
      <c r="I178" s="10" t="s">
        <v>570</v>
      </c>
      <c r="J178" s="148">
        <v>3752</v>
      </c>
      <c r="K178" s="149">
        <v>224</v>
      </c>
      <c r="L178" s="157">
        <v>0.34432879999999999</v>
      </c>
    </row>
    <row r="179" spans="9:12" x14ac:dyDescent="0.2">
      <c r="I179" s="10" t="s">
        <v>571</v>
      </c>
      <c r="J179" s="148">
        <v>4</v>
      </c>
      <c r="K179" s="149">
        <v>3294</v>
      </c>
      <c r="L179" s="157">
        <v>0.81998559999999998</v>
      </c>
    </row>
    <row r="180" spans="9:12" x14ac:dyDescent="0.2">
      <c r="I180" s="10" t="s">
        <v>572</v>
      </c>
      <c r="J180" s="148">
        <v>2810</v>
      </c>
      <c r="K180" s="149">
        <v>66</v>
      </c>
      <c r="L180" s="157">
        <v>0.28110000000000002</v>
      </c>
    </row>
    <row r="181" spans="9:12" x14ac:dyDescent="0.2">
      <c r="I181" s="10" t="s">
        <v>573</v>
      </c>
      <c r="J181" s="148"/>
      <c r="K181" s="148"/>
      <c r="L181" s="158"/>
    </row>
    <row r="182" spans="9:12" x14ac:dyDescent="0.2">
      <c r="I182" s="10" t="s">
        <v>574</v>
      </c>
      <c r="J182" s="148">
        <v>1019</v>
      </c>
      <c r="K182" s="149">
        <v>732</v>
      </c>
      <c r="L182" s="157">
        <v>0.2963499</v>
      </c>
    </row>
    <row r="183" spans="9:12" x14ac:dyDescent="0.2">
      <c r="I183" s="10" t="s">
        <v>575</v>
      </c>
      <c r="J183" s="148">
        <v>2251</v>
      </c>
      <c r="K183" s="149">
        <v>1144</v>
      </c>
      <c r="L183" s="157">
        <v>0.44635999999999998</v>
      </c>
    </row>
    <row r="184" spans="9:12" x14ac:dyDescent="0.2">
      <c r="I184" s="10" t="s">
        <v>576</v>
      </c>
      <c r="J184" s="148">
        <v>1</v>
      </c>
      <c r="K184" s="149">
        <v>2545</v>
      </c>
      <c r="L184" s="157">
        <v>0.58533959999999996</v>
      </c>
    </row>
    <row r="185" spans="9:12" x14ac:dyDescent="0.2">
      <c r="I185" s="10" t="s">
        <v>577</v>
      </c>
      <c r="J185" s="148">
        <v>1</v>
      </c>
      <c r="K185" s="149">
        <v>2381</v>
      </c>
      <c r="L185" s="157">
        <v>0.20844219999999999</v>
      </c>
    </row>
    <row r="186" spans="9:12" x14ac:dyDescent="0.2">
      <c r="I186" s="10" t="s">
        <v>578</v>
      </c>
      <c r="J186" s="148">
        <v>81</v>
      </c>
      <c r="K186" s="149">
        <v>3016</v>
      </c>
      <c r="L186" s="157">
        <v>0.39631379999999999</v>
      </c>
    </row>
    <row r="187" spans="9:12" x14ac:dyDescent="0.2">
      <c r="I187" s="10" t="s">
        <v>579</v>
      </c>
      <c r="J187" s="148">
        <v>0</v>
      </c>
      <c r="K187" s="149">
        <v>3868</v>
      </c>
      <c r="L187" s="157">
        <v>0.82303110000000002</v>
      </c>
    </row>
    <row r="188" spans="9:12" x14ac:dyDescent="0.2">
      <c r="I188" s="10" t="s">
        <v>580</v>
      </c>
      <c r="J188" s="148">
        <v>105</v>
      </c>
      <c r="K188" s="149">
        <v>1087</v>
      </c>
      <c r="L188" s="157">
        <v>6.7574000000000002E-3</v>
      </c>
    </row>
    <row r="189" spans="9:12" ht="15" thickBot="1" x14ac:dyDescent="0.25">
      <c r="I189" s="11" t="s">
        <v>581</v>
      </c>
      <c r="J189" s="159">
        <v>349</v>
      </c>
      <c r="K189" s="160">
        <v>1010</v>
      </c>
      <c r="L189" s="161">
        <v>0.57276890000000003</v>
      </c>
    </row>
    <row r="190" spans="9:12" ht="15" thickBot="1" x14ac:dyDescent="0.25">
      <c r="I190" s="11" t="s">
        <v>180</v>
      </c>
      <c r="J190" s="156">
        <v>0.2</v>
      </c>
    </row>
    <row r="191" spans="9:12" x14ac:dyDescent="0.2">
      <c r="I191" s="10" t="s">
        <v>179</v>
      </c>
      <c r="J191" s="163">
        <v>0.8</v>
      </c>
    </row>
  </sheetData>
  <mergeCells count="2">
    <mergeCell ref="O4:P4"/>
    <mergeCell ref="O17:P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13" ma:contentTypeDescription="Een nieuw document maken." ma:contentTypeScope="" ma:versionID="27991db4a85bb2043da023e78b2acf14">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c13f26d53d1edcb465b11b2a181b6083"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1A3F70-5D27-422A-A4D6-699C5BC60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9d4d8a-d2e8-430a-b742-0bde6677c999"/>
    <ds:schemaRef ds:uri="04f11fb8-5d4e-46be-bbb1-70ba70dc7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E86B49-6C5E-45E8-89FB-621FB0517D27}">
  <ds:schemaRefs>
    <ds:schemaRef ds:uri="04f11fb8-5d4e-46be-bbb1-70ba70dc708d"/>
    <ds:schemaRef ds:uri="199d4d8a-d2e8-430a-b742-0bde6677c999"/>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EF43061-6BCA-4ADE-8BE1-42571A5DAA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9</vt:i4>
      </vt:variant>
      <vt:variant>
        <vt:lpstr>Benoemde bereiken</vt:lpstr>
      </vt:variant>
      <vt:variant>
        <vt:i4>4</vt:i4>
      </vt:variant>
    </vt:vector>
  </HeadingPairs>
  <TitlesOfParts>
    <vt:vector size="13" baseType="lpstr">
      <vt:lpstr>Guidance</vt:lpstr>
      <vt:lpstr>Asset Information</vt:lpstr>
      <vt:lpstr>Consumption Data</vt:lpstr>
      <vt:lpstr>Results</vt:lpstr>
      <vt:lpstr>Schedule Of Changes</vt:lpstr>
      <vt:lpstr>Data Validation</vt:lpstr>
      <vt:lpstr>v6 calculation</vt:lpstr>
      <vt:lpstr>v6 benchmarks</vt:lpstr>
      <vt:lpstr>v6 picksheet</vt:lpstr>
      <vt:lpstr>Country</vt:lpstr>
      <vt:lpstr>Fuel_type</vt:lpstr>
      <vt:lpstr>Fuel_Type2</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 Services</dc:creator>
  <cp:keywords/>
  <dc:description/>
  <cp:lastModifiedBy>Leonie de Boer</cp:lastModifiedBy>
  <cp:revision/>
  <dcterms:created xsi:type="dcterms:W3CDTF">2017-04-12T14:27:55Z</dcterms:created>
  <dcterms:modified xsi:type="dcterms:W3CDTF">2021-11-11T08:31:32Z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0x010100F1A2C44F8609A34FA1B53FFDD71C2C57</vt:lpwstr>
  </property>
</Properties>
</file>